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E01BA56-B6EF-4395-9F4D-CA2ADADDE82A}" xr6:coauthVersionLast="47" xr6:coauthVersionMax="47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Рынок УВ Lucinel" sheetId="1" r:id="rId1"/>
    <sheet name="Мировой рынок УВ свод" sheetId="22" r:id="rId2"/>
    <sheet name="УВ регионы мира" sheetId="7" r:id="rId3"/>
    <sheet name="Мировой рынок УВ по мощностям" sheetId="20" r:id="rId4"/>
    <sheet name="Рентабельность УВ" sheetId="11" r:id="rId5"/>
    <sheet name="Авиация" sheetId="2" r:id="rId6"/>
    <sheet name="Промышленность" sheetId="3" r:id="rId7"/>
    <sheet name="Спорт" sheetId="4" r:id="rId8"/>
    <sheet name="Ср. цены по отраслям" sheetId="8" r:id="rId9"/>
    <sheet name="Ведущие игроки" sheetId="10" r:id="rId10"/>
    <sheet name="Фин. показат. игроков" sheetId="15" r:id="rId11"/>
    <sheet name="Прекурсор" sheetId="5" r:id="rId12"/>
    <sheet name="Рынок УВ РФ 2019-2021" sheetId="23" r:id="rId13"/>
    <sheet name="Рынок УВ РФ 2022-2030" sheetId="21" r:id="rId14"/>
    <sheet name="Ткани регионы мира" sheetId="17" state="hidden" r:id="rId15"/>
    <sheet name="Препреги" sheetId="19" state="hidden" r:id="rId16"/>
    <sheet name=" Углепластики регионы мира" sheetId="16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9" i="21" l="1"/>
  <c r="N139" i="21"/>
  <c r="M139" i="21"/>
  <c r="L139" i="21"/>
  <c r="K139" i="21"/>
  <c r="J139" i="21"/>
  <c r="I139" i="21"/>
  <c r="H139" i="21"/>
  <c r="G139" i="21"/>
  <c r="P112" i="21"/>
  <c r="N112" i="21"/>
  <c r="N119" i="21" s="1"/>
  <c r="N134" i="21" s="1"/>
  <c r="N138" i="21" s="1"/>
  <c r="L112" i="21"/>
  <c r="L119" i="21" s="1"/>
  <c r="L134" i="21" s="1"/>
  <c r="L138" i="21" s="1"/>
  <c r="J112" i="21"/>
  <c r="J119" i="21" s="1"/>
  <c r="J134" i="21" s="1"/>
  <c r="J138" i="21" s="1"/>
  <c r="H112" i="21"/>
  <c r="H119" i="21" s="1"/>
  <c r="H134" i="21" s="1"/>
  <c r="H138" i="21" s="1"/>
  <c r="O104" i="21"/>
  <c r="O112" i="21" s="1"/>
  <c r="O119" i="21" s="1"/>
  <c r="O134" i="21" s="1"/>
  <c r="O138" i="21" s="1"/>
  <c r="N104" i="21"/>
  <c r="M104" i="21"/>
  <c r="M112" i="21" s="1"/>
  <c r="M119" i="21" s="1"/>
  <c r="M134" i="21" s="1"/>
  <c r="M138" i="21" s="1"/>
  <c r="L104" i="21"/>
  <c r="K104" i="21"/>
  <c r="K112" i="21" s="1"/>
  <c r="K119" i="21" s="1"/>
  <c r="K134" i="21" s="1"/>
  <c r="K138" i="21" s="1"/>
  <c r="J104" i="21"/>
  <c r="I104" i="21"/>
  <c r="I112" i="21" s="1"/>
  <c r="I119" i="21" s="1"/>
  <c r="I134" i="21" s="1"/>
  <c r="I138" i="21" s="1"/>
  <c r="H104" i="21"/>
  <c r="G85" i="21"/>
  <c r="G64" i="21"/>
  <c r="G104" i="21" s="1"/>
  <c r="G112" i="21" s="1"/>
  <c r="G119" i="21" s="1"/>
  <c r="G134" i="21" s="1"/>
  <c r="G138" i="21" s="1"/>
  <c r="O48" i="21"/>
  <c r="N48" i="21"/>
  <c r="M48" i="21"/>
  <c r="L48" i="21"/>
  <c r="K48" i="21"/>
  <c r="J48" i="21"/>
  <c r="I48" i="21"/>
  <c r="H48" i="21"/>
  <c r="G36" i="21"/>
  <c r="G15" i="21"/>
  <c r="G48" i="21" s="1"/>
  <c r="I124" i="23"/>
  <c r="H124" i="23"/>
  <c r="G124" i="23"/>
  <c r="I114" i="23"/>
  <c r="H114" i="23"/>
  <c r="G114" i="23"/>
  <c r="I88" i="23"/>
  <c r="I96" i="23" s="1"/>
  <c r="I103" i="23" s="1"/>
  <c r="I119" i="23" s="1"/>
  <c r="I123" i="23" s="1"/>
  <c r="H88" i="23"/>
  <c r="H96" i="23" s="1"/>
  <c r="H103" i="23" s="1"/>
  <c r="H119" i="23" s="1"/>
  <c r="H123" i="23" s="1"/>
  <c r="G88" i="23"/>
  <c r="G96" i="23" s="1"/>
  <c r="G103" i="23" s="1"/>
  <c r="G119" i="23" s="1"/>
  <c r="G123" i="23" s="1"/>
  <c r="I79" i="23"/>
  <c r="H79" i="23"/>
  <c r="G79" i="23"/>
  <c r="I72" i="23"/>
  <c r="H72" i="23"/>
  <c r="G72" i="23"/>
  <c r="I42" i="23"/>
  <c r="H42" i="23"/>
  <c r="G42" i="23"/>
  <c r="I37" i="23"/>
  <c r="H37" i="23"/>
  <c r="G37" i="23"/>
  <c r="O32" i="22" l="1"/>
  <c r="O33" i="22" s="1"/>
  <c r="A31" i="22"/>
  <c r="O30" i="22"/>
  <c r="N30" i="22"/>
  <c r="M30" i="22"/>
  <c r="O27" i="22"/>
  <c r="O31" i="22" s="1"/>
  <c r="N27" i="22"/>
  <c r="N31" i="22" s="1"/>
  <c r="M27" i="22"/>
  <c r="M31" i="22" s="1"/>
  <c r="L27" i="22"/>
  <c r="L31" i="22" s="1"/>
  <c r="K27" i="22"/>
  <c r="K31" i="22" s="1"/>
  <c r="J27" i="22"/>
  <c r="J31" i="22" s="1"/>
  <c r="I27" i="22"/>
  <c r="I31" i="22" s="1"/>
  <c r="H27" i="22"/>
  <c r="H31" i="22" s="1"/>
  <c r="G27" i="22"/>
  <c r="G31" i="22" s="1"/>
  <c r="F27" i="22"/>
  <c r="F31" i="22" s="1"/>
  <c r="E27" i="22"/>
  <c r="E31" i="22" s="1"/>
  <c r="G24" i="22"/>
  <c r="F24" i="22"/>
  <c r="E24" i="22"/>
  <c r="D24" i="22"/>
  <c r="H23" i="22"/>
  <c r="G23" i="22"/>
  <c r="D23" i="22"/>
  <c r="G22" i="22"/>
  <c r="G21" i="22"/>
  <c r="F21" i="22"/>
  <c r="F20" i="22"/>
  <c r="M20" i="22" s="1"/>
  <c r="E19" i="22"/>
  <c r="E21" i="22" s="1"/>
  <c r="H18" i="22"/>
  <c r="E17" i="22"/>
  <c r="I16" i="22"/>
  <c r="I24" i="22" s="1"/>
  <c r="H16" i="22"/>
  <c r="H21" i="22" s="1"/>
  <c r="J14" i="22"/>
  <c r="K14" i="22" s="1"/>
  <c r="I14" i="22"/>
  <c r="I23" i="22" s="1"/>
  <c r="F14" i="22"/>
  <c r="E14" i="22" s="1"/>
  <c r="E23" i="22" s="1"/>
  <c r="G13" i="22"/>
  <c r="H11" i="22"/>
  <c r="I11" i="22" s="1"/>
  <c r="J11" i="22" s="1"/>
  <c r="K11" i="22" s="1"/>
  <c r="L11" i="22" s="1"/>
  <c r="M11" i="22" s="1"/>
  <c r="N11" i="22" s="1"/>
  <c r="O11" i="22" s="1"/>
  <c r="N10" i="22"/>
  <c r="I9" i="22"/>
  <c r="I22" i="22" s="1"/>
  <c r="H9" i="22"/>
  <c r="H22" i="22" s="1"/>
  <c r="F9" i="22"/>
  <c r="E9" i="22" s="1"/>
  <c r="A9" i="22"/>
  <c r="A14" i="22" s="1"/>
  <c r="A16" i="22" s="1"/>
  <c r="L8" i="22"/>
  <c r="K8" i="22"/>
  <c r="J8" i="22"/>
  <c r="I8" i="22"/>
  <c r="H8" i="22"/>
  <c r="G8" i="22"/>
  <c r="F8" i="22"/>
  <c r="E8" i="22"/>
  <c r="M7" i="22"/>
  <c r="H7" i="22"/>
  <c r="H5" i="22"/>
  <c r="M5" i="22" s="1"/>
  <c r="G3" i="22"/>
  <c r="H3" i="22" s="1"/>
  <c r="I3" i="22" s="1"/>
  <c r="J3" i="22" s="1"/>
  <c r="K3" i="22" s="1"/>
  <c r="L3" i="22" s="1"/>
  <c r="M3" i="22" s="1"/>
  <c r="N3" i="22" s="1"/>
  <c r="O3" i="22" s="1"/>
  <c r="F3" i="22"/>
  <c r="E22" i="22" l="1"/>
  <c r="K23" i="22"/>
  <c r="L14" i="22"/>
  <c r="J18" i="22"/>
  <c r="I21" i="22"/>
  <c r="F22" i="22"/>
  <c r="F23" i="22"/>
  <c r="J23" i="22"/>
  <c r="H24" i="22"/>
  <c r="M6" i="22"/>
  <c r="N6" i="22" s="1"/>
  <c r="O6" i="22" s="1"/>
  <c r="G12" i="22"/>
  <c r="F11" i="22" s="1"/>
  <c r="E11" i="22" s="1"/>
  <c r="E13" i="22" s="1"/>
  <c r="H13" i="22"/>
  <c r="M4" i="22"/>
  <c r="J9" i="22"/>
  <c r="I13" i="22"/>
  <c r="J16" i="22"/>
  <c r="I18" i="22"/>
  <c r="M19" i="22"/>
  <c r="N19" i="22" s="1"/>
  <c r="O19" i="22" s="1"/>
  <c r="J21" i="22" l="1"/>
  <c r="K18" i="22"/>
  <c r="J24" i="22"/>
  <c r="K16" i="22"/>
  <c r="J13" i="22"/>
  <c r="J22" i="22"/>
  <c r="K9" i="22"/>
  <c r="M14" i="22"/>
  <c r="L23" i="22"/>
  <c r="M8" i="22"/>
  <c r="N4" i="22"/>
  <c r="F13" i="22"/>
  <c r="O4" i="22" l="1"/>
  <c r="N8" i="22"/>
  <c r="M23" i="22"/>
  <c r="N14" i="22"/>
  <c r="K24" i="22"/>
  <c r="L16" i="22"/>
  <c r="K21" i="22"/>
  <c r="L18" i="22"/>
  <c r="K22" i="22"/>
  <c r="K13" i="22"/>
  <c r="L9" i="22"/>
  <c r="M9" i="22" l="1"/>
  <c r="L22" i="22"/>
  <c r="L13" i="22"/>
  <c r="L21" i="22"/>
  <c r="M18" i="22"/>
  <c r="L24" i="22"/>
  <c r="M16" i="22"/>
  <c r="O14" i="22"/>
  <c r="O23" i="22" s="1"/>
  <c r="N23" i="22"/>
  <c r="O8" i="22"/>
  <c r="M24" i="22" l="1"/>
  <c r="N16" i="22"/>
  <c r="M21" i="22"/>
  <c r="N18" i="22"/>
  <c r="M13" i="22"/>
  <c r="N9" i="22"/>
  <c r="M22" i="22"/>
  <c r="N13" i="22" l="1"/>
  <c r="O9" i="22"/>
  <c r="N22" i="22"/>
  <c r="N21" i="22"/>
  <c r="O18" i="22"/>
  <c r="N24" i="22"/>
  <c r="O16" i="22"/>
  <c r="O13" i="22" l="1"/>
  <c r="O22" i="22"/>
  <c r="O24" i="22"/>
  <c r="O21" i="22"/>
  <c r="R21" i="5" l="1"/>
  <c r="S21" i="5" s="1"/>
  <c r="Q21" i="5"/>
  <c r="R19" i="5"/>
  <c r="S19" i="5" s="1"/>
  <c r="Q19" i="5"/>
  <c r="R15" i="5"/>
  <c r="S15" i="5"/>
  <c r="Q15" i="5"/>
  <c r="R13" i="5"/>
  <c r="S13" i="5" s="1"/>
  <c r="Q13" i="5"/>
  <c r="Q10" i="5"/>
  <c r="R10" i="5"/>
  <c r="S10" i="5"/>
  <c r="R8" i="5"/>
  <c r="S8" i="5"/>
  <c r="Q8" i="5"/>
  <c r="R6" i="5"/>
  <c r="S6" i="5" s="1"/>
  <c r="Q6" i="5"/>
  <c r="Q23" i="8"/>
  <c r="R23" i="8"/>
  <c r="S23" i="8"/>
  <c r="Q24" i="8"/>
  <c r="R24" i="8"/>
  <c r="S24" i="8"/>
  <c r="Q25" i="8"/>
  <c r="R25" i="8"/>
  <c r="S25" i="8"/>
  <c r="Q26" i="8"/>
  <c r="R26" i="8"/>
  <c r="S26" i="8"/>
  <c r="Q27" i="8"/>
  <c r="R27" i="8"/>
  <c r="S27" i="8"/>
  <c r="Q28" i="8"/>
  <c r="R28" i="8"/>
  <c r="S28" i="8"/>
  <c r="Q15" i="8"/>
  <c r="R15" i="8"/>
  <c r="S15" i="8"/>
  <c r="Q16" i="8"/>
  <c r="R16" i="8"/>
  <c r="S16" i="8"/>
  <c r="Q17" i="8"/>
  <c r="R17" i="8"/>
  <c r="S17" i="8"/>
  <c r="Q18" i="8"/>
  <c r="R18" i="8"/>
  <c r="S18" i="8"/>
  <c r="Q19" i="8"/>
  <c r="R19" i="8"/>
  <c r="S19" i="8"/>
  <c r="Q20" i="8"/>
  <c r="R20" i="8"/>
  <c r="S20" i="8"/>
  <c r="Q21" i="8"/>
  <c r="R21" i="8"/>
  <c r="S21" i="8"/>
  <c r="Q8" i="8"/>
  <c r="R8" i="8"/>
  <c r="S8" i="8"/>
  <c r="Q9" i="8"/>
  <c r="R9" i="8"/>
  <c r="S9" i="8"/>
  <c r="Q10" i="8"/>
  <c r="R10" i="8"/>
  <c r="S10" i="8"/>
  <c r="Q11" i="8"/>
  <c r="R11" i="8"/>
  <c r="S11" i="8"/>
  <c r="Q12" i="8"/>
  <c r="R12" i="8"/>
  <c r="S12" i="8"/>
  <c r="Q13" i="8"/>
  <c r="R13" i="8"/>
  <c r="S13" i="8"/>
  <c r="Q7" i="8"/>
  <c r="R7" i="8"/>
  <c r="S7" i="8"/>
  <c r="Q6" i="8"/>
  <c r="R6" i="8"/>
  <c r="S6" i="8"/>
  <c r="R40" i="4"/>
  <c r="S40" i="4"/>
  <c r="Q40" i="4"/>
  <c r="R38" i="4"/>
  <c r="S38" i="4" s="1"/>
  <c r="Q38" i="4"/>
  <c r="R34" i="4"/>
  <c r="S34" i="4"/>
  <c r="Q34" i="4"/>
  <c r="R32" i="4"/>
  <c r="S32" i="4"/>
  <c r="Q32" i="4"/>
  <c r="R28" i="4"/>
  <c r="S28" i="4" s="1"/>
  <c r="Q28" i="4"/>
  <c r="R26" i="4"/>
  <c r="S26" i="4"/>
  <c r="Q26" i="4"/>
  <c r="R22" i="4"/>
  <c r="S22" i="4"/>
  <c r="Q22" i="4"/>
  <c r="R20" i="4"/>
  <c r="S20" i="4"/>
  <c r="Q20" i="4"/>
  <c r="R16" i="4"/>
  <c r="S16" i="4" s="1"/>
  <c r="Q16" i="4"/>
  <c r="R14" i="4"/>
  <c r="S14" i="4"/>
  <c r="Q14" i="4"/>
  <c r="Q11" i="4"/>
  <c r="R11" i="4"/>
  <c r="S11" i="4"/>
  <c r="Q9" i="4"/>
  <c r="R9" i="4"/>
  <c r="S9" i="4"/>
  <c r="Q7" i="4"/>
  <c r="R7" i="4"/>
  <c r="S7" i="4"/>
  <c r="R46" i="3"/>
  <c r="S46" i="3" s="1"/>
  <c r="Q46" i="3"/>
  <c r="R44" i="3"/>
  <c r="S44" i="3" s="1"/>
  <c r="Q44" i="3"/>
  <c r="R40" i="3"/>
  <c r="S40" i="3"/>
  <c r="Q40" i="3"/>
  <c r="R38" i="3"/>
  <c r="S38" i="3"/>
  <c r="Q38" i="3"/>
  <c r="R34" i="3"/>
  <c r="S34" i="3"/>
  <c r="Q34" i="3"/>
  <c r="R32" i="3"/>
  <c r="S32" i="3"/>
  <c r="Q32" i="3"/>
  <c r="R28" i="3"/>
  <c r="S28" i="3"/>
  <c r="Q28" i="3"/>
  <c r="R26" i="3"/>
  <c r="S26" i="3" s="1"/>
  <c r="Q26" i="3"/>
  <c r="R22" i="3"/>
  <c r="S22" i="3"/>
  <c r="Q22" i="3"/>
  <c r="R20" i="3"/>
  <c r="S20" i="3" s="1"/>
  <c r="Q20" i="3"/>
  <c r="R16" i="3"/>
  <c r="S16" i="3" s="1"/>
  <c r="Q16" i="3"/>
  <c r="R14" i="3"/>
  <c r="S14" i="3" s="1"/>
  <c r="Q14" i="3"/>
  <c r="Q11" i="3"/>
  <c r="R11" i="3"/>
  <c r="S11" i="3"/>
  <c r="Q9" i="3"/>
  <c r="R9" i="3"/>
  <c r="S9" i="3"/>
  <c r="Q7" i="3"/>
  <c r="R7" i="3"/>
  <c r="S7" i="3"/>
  <c r="Q4" i="3"/>
  <c r="R4" i="3" s="1"/>
  <c r="S4" i="3" s="1"/>
  <c r="R46" i="2"/>
  <c r="S46" i="2"/>
  <c r="Q46" i="2"/>
  <c r="R44" i="2"/>
  <c r="S44" i="2"/>
  <c r="Q44" i="2"/>
  <c r="R40" i="2"/>
  <c r="S40" i="2" s="1"/>
  <c r="Q40" i="2"/>
  <c r="R38" i="2"/>
  <c r="S38" i="2"/>
  <c r="Q38" i="2"/>
  <c r="R34" i="2"/>
  <c r="S34" i="2" s="1"/>
  <c r="Q34" i="2"/>
  <c r="R32" i="2"/>
  <c r="S32" i="2"/>
  <c r="Q32" i="2"/>
  <c r="R28" i="2"/>
  <c r="S28" i="2" s="1"/>
  <c r="Q28" i="2"/>
  <c r="R26" i="2"/>
  <c r="S26" i="2"/>
  <c r="Q26" i="2"/>
  <c r="R22" i="2"/>
  <c r="S22" i="2" s="1"/>
  <c r="Q22" i="2"/>
  <c r="R20" i="2"/>
  <c r="S20" i="2" s="1"/>
  <c r="Q20" i="2"/>
  <c r="R16" i="2"/>
  <c r="S16" i="2"/>
  <c r="Q16" i="2"/>
  <c r="R14" i="2"/>
  <c r="S14" i="2" s="1"/>
  <c r="Q14" i="2"/>
  <c r="Q9" i="2"/>
  <c r="R9" i="2"/>
  <c r="S9" i="2"/>
  <c r="Q7" i="2"/>
  <c r="Q11" i="2" s="1"/>
  <c r="R7" i="2"/>
  <c r="R11" i="2" s="1"/>
  <c r="S7" i="2"/>
  <c r="S11" i="2" s="1"/>
  <c r="R26" i="7"/>
  <c r="S26" i="7" s="1"/>
  <c r="Q26" i="7"/>
  <c r="R20" i="7"/>
  <c r="S20" i="7"/>
  <c r="Q20" i="7"/>
  <c r="R14" i="7"/>
  <c r="S14" i="7"/>
  <c r="Q14" i="7"/>
  <c r="Q11" i="7"/>
  <c r="R11" i="7"/>
  <c r="S11" i="7"/>
  <c r="R29" i="1"/>
  <c r="S29" i="1" s="1"/>
  <c r="Q29" i="1"/>
  <c r="R27" i="1"/>
  <c r="S27" i="1"/>
  <c r="Q27" i="1"/>
  <c r="R22" i="1"/>
  <c r="S22" i="1" s="1"/>
  <c r="Q22" i="1"/>
  <c r="R20" i="1"/>
  <c r="S20" i="1"/>
  <c r="Q20" i="1"/>
  <c r="S15" i="1"/>
  <c r="R15" i="1"/>
  <c r="R13" i="1"/>
  <c r="S13" i="1" s="1"/>
  <c r="Q13" i="1"/>
  <c r="R8" i="1"/>
  <c r="S8" i="1"/>
  <c r="Q8" i="1"/>
  <c r="L58" i="20"/>
  <c r="L24" i="15" l="1"/>
  <c r="D7" i="1"/>
  <c r="D14" i="1"/>
  <c r="K11" i="10" l="1"/>
  <c r="K10" i="10"/>
  <c r="K9" i="10"/>
  <c r="K8" i="10"/>
  <c r="K7" i="10"/>
  <c r="K6" i="10"/>
  <c r="K5" i="10"/>
  <c r="P21" i="5"/>
  <c r="O21" i="5"/>
  <c r="N21" i="5"/>
  <c r="M21" i="5"/>
  <c r="L21" i="5"/>
  <c r="K21" i="5"/>
  <c r="K22" i="5" s="1"/>
  <c r="J21" i="5"/>
  <c r="D20" i="5"/>
  <c r="K20" i="5"/>
  <c r="O15" i="5"/>
  <c r="O8" i="5" s="1"/>
  <c r="P15" i="5"/>
  <c r="P8" i="5" s="1"/>
  <c r="N15" i="5"/>
  <c r="N8" i="5" s="1"/>
  <c r="M15" i="5"/>
  <c r="L15" i="5"/>
  <c r="L8" i="5" s="1"/>
  <c r="K15" i="5"/>
  <c r="J15" i="5"/>
  <c r="D14" i="5"/>
  <c r="K14" i="5"/>
  <c r="E6" i="5"/>
  <c r="F6" i="5"/>
  <c r="G6" i="5"/>
  <c r="H6" i="5"/>
  <c r="I6" i="5"/>
  <c r="J6" i="5"/>
  <c r="K6" i="5"/>
  <c r="L6" i="5"/>
  <c r="M6" i="5"/>
  <c r="N6" i="5"/>
  <c r="O6" i="5"/>
  <c r="P6" i="5"/>
  <c r="D6" i="5"/>
  <c r="L42" i="15"/>
  <c r="L40" i="15"/>
  <c r="L35" i="15"/>
  <c r="L39" i="15"/>
  <c r="L38" i="15"/>
  <c r="K37" i="15"/>
  <c r="L37" i="15"/>
  <c r="L33" i="15"/>
  <c r="L34" i="15" s="1"/>
  <c r="L32" i="15"/>
  <c r="K8" i="5" l="1"/>
  <c r="D7" i="5"/>
  <c r="M8" i="5"/>
  <c r="P10" i="5"/>
  <c r="J8" i="5"/>
  <c r="L41" i="15"/>
  <c r="L36" i="15"/>
  <c r="L43" i="15"/>
  <c r="K7" i="5"/>
  <c r="L21" i="15"/>
  <c r="L18" i="15" l="1"/>
  <c r="K58" i="20"/>
  <c r="E38" i="20"/>
  <c r="G56" i="20" l="1"/>
  <c r="M24" i="20"/>
  <c r="N24" i="20" s="1"/>
  <c r="L24" i="20"/>
  <c r="L25" i="20"/>
  <c r="G24" i="20"/>
  <c r="H24" i="20"/>
  <c r="I24" i="20" s="1"/>
  <c r="J24" i="20" s="1"/>
  <c r="K24" i="20" s="1"/>
  <c r="F24" i="20"/>
  <c r="F20" i="20"/>
  <c r="G20" i="20" s="1"/>
  <c r="H20" i="20" s="1"/>
  <c r="I20" i="20" s="1"/>
  <c r="J20" i="20" s="1"/>
  <c r="K20" i="20" s="1"/>
  <c r="L20" i="20" s="1"/>
  <c r="M20" i="20" s="1"/>
  <c r="N20" i="20" s="1"/>
  <c r="N61" i="20"/>
  <c r="N66" i="20" s="1"/>
  <c r="M61" i="20"/>
  <c r="M66" i="20" s="1"/>
  <c r="L61" i="20"/>
  <c r="L66" i="20" s="1"/>
  <c r="K61" i="20"/>
  <c r="K66" i="20" s="1"/>
  <c r="J61" i="20"/>
  <c r="J66" i="20" s="1"/>
  <c r="I61" i="20"/>
  <c r="I66" i="20" s="1"/>
  <c r="H61" i="20"/>
  <c r="H66" i="20" s="1"/>
  <c r="G61" i="20"/>
  <c r="G66" i="20" s="1"/>
  <c r="F61" i="20"/>
  <c r="F66" i="20" s="1"/>
  <c r="E61" i="20"/>
  <c r="E66" i="20" s="1"/>
  <c r="D61" i="20"/>
  <c r="D66" i="20" s="1"/>
  <c r="E58" i="20"/>
  <c r="F58" i="20" s="1"/>
  <c r="G58" i="20" s="1"/>
  <c r="H58" i="20" s="1"/>
  <c r="I58" i="20" s="1"/>
  <c r="J58" i="20" s="1"/>
  <c r="M58" i="20" s="1"/>
  <c r="N58" i="20" s="1"/>
  <c r="D56" i="20"/>
  <c r="E56" i="20" s="1"/>
  <c r="F56" i="20" s="1"/>
  <c r="H56" i="20" s="1"/>
  <c r="I56" i="20" s="1"/>
  <c r="J56" i="20" s="1"/>
  <c r="K56" i="20" s="1"/>
  <c r="L56" i="20" s="1"/>
  <c r="M56" i="20" s="1"/>
  <c r="N56" i="20" s="1"/>
  <c r="E54" i="20"/>
  <c r="F54" i="20" s="1"/>
  <c r="G54" i="20" s="1"/>
  <c r="H54" i="20" s="1"/>
  <c r="I54" i="20" s="1"/>
  <c r="J54" i="20" s="1"/>
  <c r="K54" i="20" s="1"/>
  <c r="L54" i="20" s="1"/>
  <c r="M54" i="20" s="1"/>
  <c r="N54" i="20" s="1"/>
  <c r="E52" i="20"/>
  <c r="F52" i="20" s="1"/>
  <c r="G52" i="20" s="1"/>
  <c r="H52" i="20" s="1"/>
  <c r="I52" i="20" s="1"/>
  <c r="J52" i="20" s="1"/>
  <c r="K52" i="20" s="1"/>
  <c r="L52" i="20" s="1"/>
  <c r="M52" i="20" s="1"/>
  <c r="N52" i="20" s="1"/>
  <c r="E50" i="20"/>
  <c r="F50" i="20" s="1"/>
  <c r="G50" i="20" s="1"/>
  <c r="H50" i="20" s="1"/>
  <c r="I50" i="20" s="1"/>
  <c r="J50" i="20" s="1"/>
  <c r="K50" i="20" s="1"/>
  <c r="L50" i="20" s="1"/>
  <c r="M50" i="20" s="1"/>
  <c r="N50" i="20" s="1"/>
  <c r="E48" i="20"/>
  <c r="F48" i="20" s="1"/>
  <c r="G48" i="20" s="1"/>
  <c r="H48" i="20" s="1"/>
  <c r="I48" i="20" s="1"/>
  <c r="J48" i="20" s="1"/>
  <c r="K48" i="20" s="1"/>
  <c r="L48" i="20" s="1"/>
  <c r="M48" i="20" s="1"/>
  <c r="N48" i="20" s="1"/>
  <c r="D46" i="20"/>
  <c r="E46" i="20" s="1"/>
  <c r="F46" i="20" s="1"/>
  <c r="G46" i="20" s="1"/>
  <c r="H46" i="20" s="1"/>
  <c r="I46" i="20" s="1"/>
  <c r="J46" i="20" s="1"/>
  <c r="K46" i="20" s="1"/>
  <c r="L46" i="20" s="1"/>
  <c r="M46" i="20" s="1"/>
  <c r="N46" i="20" s="1"/>
  <c r="D44" i="20"/>
  <c r="E44" i="20" s="1"/>
  <c r="F44" i="20" s="1"/>
  <c r="G44" i="20" s="1"/>
  <c r="H44" i="20" s="1"/>
  <c r="I44" i="20" s="1"/>
  <c r="J44" i="20" s="1"/>
  <c r="K44" i="20" s="1"/>
  <c r="L44" i="20" s="1"/>
  <c r="M44" i="20" s="1"/>
  <c r="N44" i="20" s="1"/>
  <c r="E42" i="20"/>
  <c r="F42" i="20" s="1"/>
  <c r="G42" i="20" s="1"/>
  <c r="H42" i="20" s="1"/>
  <c r="I42" i="20" s="1"/>
  <c r="J42" i="20" s="1"/>
  <c r="K42" i="20" s="1"/>
  <c r="L42" i="20" s="1"/>
  <c r="M42" i="20" s="1"/>
  <c r="N42" i="20" s="1"/>
  <c r="E40" i="20"/>
  <c r="F40" i="20" s="1"/>
  <c r="G40" i="20" s="1"/>
  <c r="H40" i="20" s="1"/>
  <c r="I40" i="20" s="1"/>
  <c r="J40" i="20" s="1"/>
  <c r="K40" i="20" s="1"/>
  <c r="L40" i="20" s="1"/>
  <c r="M40" i="20" s="1"/>
  <c r="N40" i="20" s="1"/>
  <c r="A40" i="20"/>
  <c r="A42" i="20" s="1"/>
  <c r="A44" i="20" s="1"/>
  <c r="A46" i="20" s="1"/>
  <c r="A48" i="20" s="1"/>
  <c r="A50" i="20" s="1"/>
  <c r="A52" i="20" s="1"/>
  <c r="A54" i="20" s="1"/>
  <c r="A56" i="20" s="1"/>
  <c r="A58" i="20" s="1"/>
  <c r="A60" i="20" s="1"/>
  <c r="D38" i="20"/>
  <c r="E36" i="20"/>
  <c r="F36" i="20" s="1"/>
  <c r="G36" i="20" s="1"/>
  <c r="H36" i="20" s="1"/>
  <c r="I36" i="20" s="1"/>
  <c r="J36" i="20" s="1"/>
  <c r="K36" i="20" s="1"/>
  <c r="L36" i="20" s="1"/>
  <c r="M36" i="20" s="1"/>
  <c r="N36" i="20" s="1"/>
  <c r="E17" i="20"/>
  <c r="K17" i="20" s="1"/>
  <c r="K16" i="20" s="1"/>
  <c r="D16" i="20"/>
  <c r="D13" i="20"/>
  <c r="I12" i="20" s="1"/>
  <c r="J12" i="20" s="1"/>
  <c r="E4" i="20"/>
  <c r="F4" i="20" s="1"/>
  <c r="G4" i="20" s="1"/>
  <c r="H4" i="20" s="1"/>
  <c r="I4" i="20" s="1"/>
  <c r="J4" i="20" s="1"/>
  <c r="K4" i="20" s="1"/>
  <c r="L4" i="20" s="1"/>
  <c r="M4" i="20" s="1"/>
  <c r="N4" i="20" s="1"/>
  <c r="F16" i="20" l="1"/>
  <c r="D60" i="20"/>
  <c r="E60" i="20" s="1"/>
  <c r="F60" i="20" s="1"/>
  <c r="G60" i="20" s="1"/>
  <c r="H60" i="20" s="1"/>
  <c r="I60" i="20" s="1"/>
  <c r="J60" i="20" s="1"/>
  <c r="K60" i="20" s="1"/>
  <c r="L60" i="20" s="1"/>
  <c r="M60" i="20" s="1"/>
  <c r="N60" i="20" s="1"/>
  <c r="K12" i="20"/>
  <c r="L12" i="20" s="1"/>
  <c r="M12" i="20" s="1"/>
  <c r="N12" i="20" s="1"/>
  <c r="L16" i="20"/>
  <c r="G16" i="20" l="1"/>
  <c r="D65" i="20"/>
  <c r="D78" i="20" s="1"/>
  <c r="D80" i="20" s="1"/>
  <c r="E65" i="20"/>
  <c r="E78" i="20" s="1"/>
  <c r="E80" i="20" s="1"/>
  <c r="F38" i="20"/>
  <c r="M16" i="20"/>
  <c r="H16" i="20" l="1"/>
  <c r="F65" i="20"/>
  <c r="F78" i="20" s="1"/>
  <c r="F80" i="20" s="1"/>
  <c r="G38" i="20"/>
  <c r="N16" i="20"/>
  <c r="I16" i="20" l="1"/>
  <c r="G65" i="20"/>
  <c r="G78" i="20" s="1"/>
  <c r="G80" i="20" s="1"/>
  <c r="H38" i="20"/>
  <c r="I38" i="20" s="1"/>
  <c r="H65" i="20" l="1"/>
  <c r="H78" i="20" s="1"/>
  <c r="H80" i="20" s="1"/>
  <c r="I65" i="20" l="1"/>
  <c r="I78" i="20" s="1"/>
  <c r="I80" i="20" s="1"/>
  <c r="J38" i="20"/>
  <c r="J65" i="20" l="1"/>
  <c r="J78" i="20" s="1"/>
  <c r="J80" i="20" s="1"/>
  <c r="K38" i="20"/>
  <c r="K65" i="20" l="1"/>
  <c r="K78" i="20" s="1"/>
  <c r="K80" i="20" s="1"/>
  <c r="L38" i="20"/>
  <c r="L65" i="20" l="1"/>
  <c r="L78" i="20" s="1"/>
  <c r="L80" i="20" s="1"/>
  <c r="M38" i="20"/>
  <c r="M65" i="20" l="1"/>
  <c r="M78" i="20" s="1"/>
  <c r="M80" i="20" s="1"/>
  <c r="N38" i="20"/>
  <c r="N65" i="20" s="1"/>
  <c r="N78" i="20" s="1"/>
  <c r="N80" i="20" s="1"/>
  <c r="G12" i="11" l="1"/>
  <c r="P40" i="4"/>
  <c r="P28" i="8" s="1"/>
  <c r="O40" i="4"/>
  <c r="N40" i="4"/>
  <c r="M40" i="4"/>
  <c r="L40" i="4"/>
  <c r="K40" i="4"/>
  <c r="J40" i="4"/>
  <c r="P34" i="4"/>
  <c r="P27" i="8" s="1"/>
  <c r="O34" i="4"/>
  <c r="N34" i="4"/>
  <c r="M34" i="4"/>
  <c r="L34" i="4"/>
  <c r="K34" i="4"/>
  <c r="J34" i="4"/>
  <c r="P28" i="4"/>
  <c r="P26" i="8" s="1"/>
  <c r="J28" i="4"/>
  <c r="P22" i="4"/>
  <c r="P25" i="8" s="1"/>
  <c r="O22" i="4"/>
  <c r="N22" i="4"/>
  <c r="L22" i="4"/>
  <c r="K22" i="4"/>
  <c r="J22" i="4"/>
  <c r="K23" i="4"/>
  <c r="P16" i="4"/>
  <c r="P24" i="8" s="1"/>
  <c r="O16" i="4"/>
  <c r="N16" i="4"/>
  <c r="M16" i="4"/>
  <c r="L16" i="4"/>
  <c r="K16" i="4"/>
  <c r="J16" i="4"/>
  <c r="D39" i="4"/>
  <c r="K39" i="4"/>
  <c r="D33" i="4"/>
  <c r="K33" i="4"/>
  <c r="D27" i="4"/>
  <c r="K27" i="4"/>
  <c r="D21" i="4"/>
  <c r="D15" i="4"/>
  <c r="K21" i="4"/>
  <c r="K15" i="4"/>
  <c r="F7" i="4"/>
  <c r="G7" i="4"/>
  <c r="H7" i="4"/>
  <c r="I7" i="4"/>
  <c r="J7" i="4"/>
  <c r="K7" i="4"/>
  <c r="L7" i="4"/>
  <c r="M7" i="4"/>
  <c r="N7" i="4"/>
  <c r="O7" i="4"/>
  <c r="P7" i="4"/>
  <c r="E7" i="4"/>
  <c r="D7" i="4"/>
  <c r="P46" i="3"/>
  <c r="O46" i="3"/>
  <c r="N46" i="3"/>
  <c r="M46" i="3"/>
  <c r="L46" i="3"/>
  <c r="K46" i="3"/>
  <c r="J46" i="3"/>
  <c r="P40" i="3"/>
  <c r="O40" i="3"/>
  <c r="N40" i="3"/>
  <c r="M40" i="3"/>
  <c r="L40" i="3"/>
  <c r="K40" i="3"/>
  <c r="K41" i="3" s="1"/>
  <c r="J40" i="3"/>
  <c r="P34" i="3"/>
  <c r="K35" i="3" s="1"/>
  <c r="O34" i="3"/>
  <c r="N34" i="3"/>
  <c r="M34" i="3"/>
  <c r="L34" i="3"/>
  <c r="K34" i="3"/>
  <c r="J34" i="3"/>
  <c r="M28" i="3"/>
  <c r="N28" i="3"/>
  <c r="O28" i="3"/>
  <c r="P28" i="3"/>
  <c r="L28" i="3"/>
  <c r="K28" i="3"/>
  <c r="K29" i="3" s="1"/>
  <c r="J28" i="3"/>
  <c r="P46" i="2"/>
  <c r="O46" i="2"/>
  <c r="N46" i="2"/>
  <c r="M46" i="2"/>
  <c r="L46" i="2"/>
  <c r="K46" i="2"/>
  <c r="K47" i="2" s="1"/>
  <c r="J46" i="2"/>
  <c r="P40" i="2"/>
  <c r="K41" i="2" s="1"/>
  <c r="O40" i="2"/>
  <c r="N40" i="2"/>
  <c r="M40" i="2"/>
  <c r="L40" i="2"/>
  <c r="K40" i="2"/>
  <c r="J40" i="2"/>
  <c r="P34" i="2"/>
  <c r="O34" i="2"/>
  <c r="N34" i="2"/>
  <c r="M34" i="2"/>
  <c r="L34" i="2"/>
  <c r="K34" i="2"/>
  <c r="J34" i="2"/>
  <c r="P28" i="2"/>
  <c r="K29" i="2" s="1"/>
  <c r="O28" i="2"/>
  <c r="N28" i="2"/>
  <c r="M28" i="2"/>
  <c r="L28" i="2"/>
  <c r="K28" i="2"/>
  <c r="J28" i="2"/>
  <c r="P22" i="2"/>
  <c r="P9" i="8" s="1"/>
  <c r="O22" i="2"/>
  <c r="N22" i="2"/>
  <c r="M22" i="2"/>
  <c r="L22" i="2"/>
  <c r="K22" i="2"/>
  <c r="J22" i="2"/>
  <c r="K23" i="2"/>
  <c r="P21" i="8"/>
  <c r="P20" i="8"/>
  <c r="P19" i="8"/>
  <c r="P18" i="8"/>
  <c r="P13" i="8"/>
  <c r="P12" i="8"/>
  <c r="P11" i="8"/>
  <c r="P10" i="8"/>
  <c r="P22" i="3"/>
  <c r="P17" i="8" s="1"/>
  <c r="O22" i="3"/>
  <c r="N22" i="3"/>
  <c r="M22" i="3"/>
  <c r="L22" i="3"/>
  <c r="K22" i="3"/>
  <c r="J22" i="3"/>
  <c r="P16" i="3"/>
  <c r="P16" i="8" s="1"/>
  <c r="O16" i="3"/>
  <c r="N16" i="3"/>
  <c r="L16" i="3"/>
  <c r="D45" i="3"/>
  <c r="K45" i="3"/>
  <c r="D39" i="3"/>
  <c r="K39" i="3"/>
  <c r="D33" i="3"/>
  <c r="K33" i="3"/>
  <c r="D27" i="3"/>
  <c r="K27" i="3"/>
  <c r="D21" i="3"/>
  <c r="K21" i="3"/>
  <c r="D15" i="3"/>
  <c r="K15" i="3"/>
  <c r="E7" i="3"/>
  <c r="F7" i="3"/>
  <c r="G7" i="3"/>
  <c r="H7" i="3"/>
  <c r="I7" i="3"/>
  <c r="J7" i="3"/>
  <c r="K7" i="3"/>
  <c r="L7" i="3"/>
  <c r="M7" i="3"/>
  <c r="N7" i="3"/>
  <c r="O7" i="3"/>
  <c r="P7" i="3"/>
  <c r="D7" i="3"/>
  <c r="P16" i="2"/>
  <c r="P8" i="8" s="1"/>
  <c r="O16" i="2"/>
  <c r="N16" i="2"/>
  <c r="M16" i="2"/>
  <c r="L16" i="2"/>
  <c r="K16" i="2"/>
  <c r="J16" i="2"/>
  <c r="K17" i="2"/>
  <c r="K45" i="2"/>
  <c r="D45" i="2"/>
  <c r="D39" i="2"/>
  <c r="K39" i="2"/>
  <c r="D33" i="2"/>
  <c r="K33" i="2"/>
  <c r="K27" i="2"/>
  <c r="D27" i="2"/>
  <c r="D21" i="2"/>
  <c r="K21" i="2"/>
  <c r="D15" i="2"/>
  <c r="K15" i="2"/>
  <c r="E7" i="2"/>
  <c r="F7" i="2"/>
  <c r="G7" i="2"/>
  <c r="H7" i="2"/>
  <c r="I7" i="2"/>
  <c r="J7" i="2"/>
  <c r="K7" i="2"/>
  <c r="L7" i="2"/>
  <c r="M7" i="2"/>
  <c r="N7" i="2"/>
  <c r="O7" i="2"/>
  <c r="P7" i="2"/>
  <c r="D7" i="2"/>
  <c r="P28" i="7"/>
  <c r="O28" i="7"/>
  <c r="N28" i="7"/>
  <c r="M28" i="7"/>
  <c r="L28" i="7"/>
  <c r="K28" i="7"/>
  <c r="J28" i="7"/>
  <c r="K29" i="7"/>
  <c r="K27" i="7"/>
  <c r="P22" i="7"/>
  <c r="O22" i="7"/>
  <c r="N22" i="7"/>
  <c r="M22" i="7"/>
  <c r="L22" i="7"/>
  <c r="K22" i="7"/>
  <c r="J22" i="7"/>
  <c r="K23" i="7"/>
  <c r="P16" i="7"/>
  <c r="O16" i="7"/>
  <c r="N16" i="7"/>
  <c r="M16" i="7"/>
  <c r="L16" i="7"/>
  <c r="K16" i="7"/>
  <c r="K17" i="7" s="1"/>
  <c r="J16" i="7"/>
  <c r="D27" i="7"/>
  <c r="D21" i="7"/>
  <c r="D15" i="7"/>
  <c r="K15" i="7"/>
  <c r="E7" i="7"/>
  <c r="F7" i="7"/>
  <c r="G7" i="7"/>
  <c r="H7" i="7"/>
  <c r="I7" i="7"/>
  <c r="J7" i="7"/>
  <c r="K7" i="7"/>
  <c r="L7" i="7"/>
  <c r="M7" i="7"/>
  <c r="N7" i="7"/>
  <c r="O7" i="7"/>
  <c r="P7" i="7"/>
  <c r="D7" i="7"/>
  <c r="P29" i="1"/>
  <c r="P9" i="4" s="1"/>
  <c r="O29" i="1"/>
  <c r="O9" i="4" s="1"/>
  <c r="N29" i="1"/>
  <c r="N9" i="4" s="1"/>
  <c r="M29" i="1"/>
  <c r="M9" i="4" s="1"/>
  <c r="L29" i="1"/>
  <c r="L9" i="4" s="1"/>
  <c r="K29" i="1"/>
  <c r="K9" i="4" s="1"/>
  <c r="J29" i="1"/>
  <c r="J9" i="4" s="1"/>
  <c r="K30" i="1"/>
  <c r="D28" i="1"/>
  <c r="K28" i="1"/>
  <c r="P22" i="1"/>
  <c r="P9" i="3" s="1"/>
  <c r="O22" i="1"/>
  <c r="O9" i="3" s="1"/>
  <c r="N22" i="1"/>
  <c r="N9" i="3" s="1"/>
  <c r="M22" i="1"/>
  <c r="M9" i="3" s="1"/>
  <c r="L22" i="1"/>
  <c r="L9" i="3" s="1"/>
  <c r="K22" i="1"/>
  <c r="K9" i="3" s="1"/>
  <c r="J22" i="1"/>
  <c r="K23" i="1"/>
  <c r="D21" i="1"/>
  <c r="K21" i="1"/>
  <c r="P15" i="1"/>
  <c r="O15" i="1"/>
  <c r="O9" i="2" s="1"/>
  <c r="N15" i="1"/>
  <c r="N9" i="2" s="1"/>
  <c r="M15" i="1"/>
  <c r="M9" i="2" s="1"/>
  <c r="L15" i="1"/>
  <c r="L9" i="2" s="1"/>
  <c r="K15" i="1"/>
  <c r="K9" i="2" s="1"/>
  <c r="J15" i="1"/>
  <c r="K16" i="1"/>
  <c r="K14" i="1"/>
  <c r="P8" i="1"/>
  <c r="O8" i="1"/>
  <c r="J8" i="20" s="1"/>
  <c r="J28" i="20" s="1"/>
  <c r="J75" i="20" s="1"/>
  <c r="J83" i="20" s="1"/>
  <c r="N8" i="1"/>
  <c r="I8" i="20" s="1"/>
  <c r="I28" i="20" s="1"/>
  <c r="I75" i="20" s="1"/>
  <c r="I83" i="20" s="1"/>
  <c r="M8" i="1"/>
  <c r="H8" i="20" s="1"/>
  <c r="H28" i="20" s="1"/>
  <c r="H75" i="20" s="1"/>
  <c r="H83" i="20" s="1"/>
  <c r="L8" i="1"/>
  <c r="G8" i="20" s="1"/>
  <c r="G28" i="20" s="1"/>
  <c r="G75" i="20" s="1"/>
  <c r="G83" i="20" s="1"/>
  <c r="K8" i="1"/>
  <c r="F8" i="20" s="1"/>
  <c r="J8" i="1"/>
  <c r="K7" i="1"/>
  <c r="Q6" i="1" s="1"/>
  <c r="R6" i="1" s="1"/>
  <c r="S6" i="1" s="1"/>
  <c r="K25" i="15"/>
  <c r="K29" i="15" s="1"/>
  <c r="K17" i="4" l="1"/>
  <c r="K35" i="4"/>
  <c r="K41" i="4"/>
  <c r="K47" i="3"/>
  <c r="D8" i="3"/>
  <c r="K8" i="3"/>
  <c r="K23" i="3"/>
  <c r="K8" i="2"/>
  <c r="K35" i="2"/>
  <c r="Q22" i="7"/>
  <c r="R22" i="7" s="1"/>
  <c r="S22" i="7" s="1"/>
  <c r="Q28" i="7"/>
  <c r="R28" i="7" s="1"/>
  <c r="S28" i="7" s="1"/>
  <c r="Q16" i="7"/>
  <c r="R16" i="7" s="1"/>
  <c r="S16" i="7" s="1"/>
  <c r="J30" i="3"/>
  <c r="P9" i="2"/>
  <c r="K10" i="2" s="1"/>
  <c r="Q15" i="1"/>
  <c r="J9" i="3"/>
  <c r="K10" i="3"/>
  <c r="K8" i="4"/>
  <c r="K10" i="4"/>
  <c r="D8" i="2"/>
  <c r="D8" i="4"/>
  <c r="P7" i="8"/>
  <c r="G13" i="11" s="1"/>
  <c r="E8" i="20"/>
  <c r="E28" i="20" s="1"/>
  <c r="F28" i="20"/>
  <c r="F75" i="20" s="1"/>
  <c r="F83" i="20" s="1"/>
  <c r="D8" i="7"/>
  <c r="O9" i="7"/>
  <c r="M9" i="7"/>
  <c r="K9" i="7"/>
  <c r="K8" i="7"/>
  <c r="Q7" i="7" s="1"/>
  <c r="R7" i="7" s="1"/>
  <c r="S7" i="7" s="1"/>
  <c r="P11" i="2"/>
  <c r="P15" i="8"/>
  <c r="G14" i="11" s="1"/>
  <c r="P11" i="4"/>
  <c r="P23" i="8"/>
  <c r="G15" i="11" s="1"/>
  <c r="K9" i="1"/>
  <c r="K8" i="20"/>
  <c r="P9" i="7"/>
  <c r="N9" i="7"/>
  <c r="L9" i="7"/>
  <c r="J9" i="7"/>
  <c r="J9" i="2"/>
  <c r="P11" i="3"/>
  <c r="K27" i="15"/>
  <c r="K26" i="15"/>
  <c r="K10" i="15"/>
  <c r="P6" i="8" l="1"/>
  <c r="J18" i="7"/>
  <c r="J24" i="7"/>
  <c r="J24" i="3"/>
  <c r="K28" i="20"/>
  <c r="K75" i="20" s="1"/>
  <c r="K83" i="20" s="1"/>
  <c r="K10" i="7"/>
  <c r="Q9" i="7" s="1"/>
  <c r="R9" i="7" s="1"/>
  <c r="S9" i="7" s="1"/>
  <c r="J11" i="2"/>
  <c r="F9" i="20"/>
  <c r="L9" i="20" s="1"/>
  <c r="L8" i="20" s="1"/>
  <c r="E75" i="20"/>
  <c r="E83" i="20" s="1"/>
  <c r="P11" i="7"/>
  <c r="K28" i="15"/>
  <c r="M8" i="20" l="1"/>
  <c r="L28" i="20"/>
  <c r="L75" i="20" s="1"/>
  <c r="L83" i="20" s="1"/>
  <c r="I46" i="15"/>
  <c r="K46" i="15"/>
  <c r="K48" i="15"/>
  <c r="J48" i="15"/>
  <c r="K50" i="15"/>
  <c r="J50" i="15"/>
  <c r="F51" i="15"/>
  <c r="G51" i="15"/>
  <c r="H51" i="15"/>
  <c r="E51" i="15"/>
  <c r="J46" i="15"/>
  <c r="K45" i="15"/>
  <c r="J45" i="15"/>
  <c r="K8" i="15"/>
  <c r="K9" i="15" s="1"/>
  <c r="K7" i="15"/>
  <c r="K11" i="15" s="1"/>
  <c r="N8" i="20" l="1"/>
  <c r="N28" i="20" s="1"/>
  <c r="M28" i="20"/>
  <c r="M75" i="20" s="1"/>
  <c r="M83" i="20" s="1"/>
  <c r="K47" i="15"/>
  <c r="J49" i="15"/>
  <c r="J47" i="15"/>
  <c r="K51" i="15"/>
  <c r="K49" i="15"/>
  <c r="J51" i="15"/>
  <c r="G9" i="19"/>
  <c r="H9" i="19" s="1"/>
  <c r="I9" i="19" s="1"/>
  <c r="J9" i="19" s="1"/>
  <c r="F13" i="19"/>
  <c r="G13" i="19" s="1"/>
  <c r="H13" i="19" s="1"/>
  <c r="I13" i="19" s="1"/>
  <c r="J13" i="19" s="1"/>
  <c r="K13" i="19" s="1"/>
  <c r="J11" i="19"/>
  <c r="I11" i="19" s="1"/>
  <c r="H11" i="19" s="1"/>
  <c r="G11" i="19" s="1"/>
  <c r="F11" i="19" s="1"/>
  <c r="G7" i="19"/>
  <c r="H7" i="19" s="1"/>
  <c r="I7" i="19" s="1"/>
  <c r="J7" i="19" s="1"/>
  <c r="E4" i="19"/>
  <c r="F4" i="19" s="1"/>
  <c r="G4" i="19" s="1"/>
  <c r="H4" i="19" s="1"/>
  <c r="I4" i="19" s="1"/>
  <c r="J4" i="19" s="1"/>
  <c r="K4" i="19" s="1"/>
  <c r="L4" i="19" s="1"/>
  <c r="D29" i="20" l="1"/>
  <c r="D76" i="20" s="1"/>
  <c r="N75" i="20"/>
  <c r="K7" i="19"/>
  <c r="L7" i="19" s="1"/>
  <c r="G16" i="15"/>
  <c r="H16" i="15"/>
  <c r="I16" i="15"/>
  <c r="J16" i="15"/>
  <c r="K16" i="15"/>
  <c r="K38" i="15"/>
  <c r="J38" i="15"/>
  <c r="J39" i="15" s="1"/>
  <c r="K33" i="15"/>
  <c r="J33" i="15"/>
  <c r="J8" i="15"/>
  <c r="I8" i="15"/>
  <c r="J37" i="15"/>
  <c r="K42" i="15"/>
  <c r="J42" i="15"/>
  <c r="K35" i="15"/>
  <c r="J35" i="15"/>
  <c r="K40" i="15"/>
  <c r="K32" i="15"/>
  <c r="K21" i="15"/>
  <c r="D21" i="15"/>
  <c r="E21" i="15"/>
  <c r="F21" i="15"/>
  <c r="G21" i="15"/>
  <c r="I18" i="15"/>
  <c r="K18" i="15"/>
  <c r="J18" i="15"/>
  <c r="N83" i="20" l="1"/>
  <c r="N85" i="20"/>
  <c r="K41" i="15"/>
  <c r="K34" i="15"/>
  <c r="K39" i="15"/>
  <c r="K36" i="15"/>
  <c r="O34" i="17" l="1"/>
  <c r="N34" i="17"/>
  <c r="M34" i="17"/>
  <c r="L34" i="17"/>
  <c r="K34" i="17"/>
  <c r="J34" i="17"/>
  <c r="H34" i="17"/>
  <c r="I34" i="17"/>
  <c r="G34" i="17"/>
  <c r="F34" i="17"/>
  <c r="E34" i="17"/>
  <c r="D34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J35" i="17" l="1"/>
  <c r="D35" i="17"/>
  <c r="J33" i="17"/>
  <c r="D33" i="17"/>
  <c r="J29" i="17"/>
  <c r="D29" i="17"/>
  <c r="J27" i="17"/>
  <c r="D27" i="17"/>
  <c r="J23" i="17"/>
  <c r="M9" i="17"/>
  <c r="K9" i="17"/>
  <c r="J9" i="17"/>
  <c r="E9" i="17"/>
  <c r="D23" i="17"/>
  <c r="J21" i="17"/>
  <c r="D21" i="17"/>
  <c r="K7" i="17"/>
  <c r="I7" i="17"/>
  <c r="H7" i="17"/>
  <c r="J17" i="17"/>
  <c r="D17" i="17"/>
  <c r="J15" i="17"/>
  <c r="D15" i="17"/>
  <c r="O9" i="17"/>
  <c r="N9" i="17"/>
  <c r="L9" i="17"/>
  <c r="I9" i="17"/>
  <c r="H9" i="17"/>
  <c r="G9" i="17"/>
  <c r="F9" i="17"/>
  <c r="D9" i="17"/>
  <c r="O7" i="17"/>
  <c r="N7" i="17"/>
  <c r="M7" i="17"/>
  <c r="L7" i="17"/>
  <c r="J7" i="17"/>
  <c r="G7" i="17"/>
  <c r="F7" i="17"/>
  <c r="E7" i="17"/>
  <c r="D7" i="17"/>
  <c r="E4" i="17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O34" i="16"/>
  <c r="N34" i="16"/>
  <c r="M34" i="16"/>
  <c r="L34" i="16"/>
  <c r="K34" i="16"/>
  <c r="J34" i="16"/>
  <c r="I34" i="16"/>
  <c r="H34" i="16"/>
  <c r="G34" i="16"/>
  <c r="F34" i="16"/>
  <c r="E34" i="16"/>
  <c r="D34" i="16"/>
  <c r="O28" i="16"/>
  <c r="N28" i="16"/>
  <c r="M28" i="16"/>
  <c r="L28" i="16"/>
  <c r="K28" i="16"/>
  <c r="J28" i="16"/>
  <c r="J29" i="16" s="1"/>
  <c r="I28" i="16"/>
  <c r="H28" i="16"/>
  <c r="G28" i="16"/>
  <c r="F28" i="16"/>
  <c r="E28" i="16"/>
  <c r="D28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O14" i="16"/>
  <c r="N14" i="16"/>
  <c r="M14" i="16"/>
  <c r="M7" i="16" s="1"/>
  <c r="L14" i="16"/>
  <c r="K14" i="16"/>
  <c r="J14" i="16"/>
  <c r="I14" i="16"/>
  <c r="H14" i="16"/>
  <c r="G14" i="16"/>
  <c r="F14" i="16"/>
  <c r="F7" i="16" s="1"/>
  <c r="E14" i="16"/>
  <c r="D14" i="16"/>
  <c r="D7" i="16" l="1"/>
  <c r="J17" i="16"/>
  <c r="O11" i="17"/>
  <c r="N11" i="17"/>
  <c r="M11" i="17"/>
  <c r="J11" i="17"/>
  <c r="L11" i="17"/>
  <c r="K11" i="17"/>
  <c r="D10" i="17"/>
  <c r="F11" i="17"/>
  <c r="G11" i="17"/>
  <c r="D11" i="17"/>
  <c r="H11" i="17"/>
  <c r="D8" i="17"/>
  <c r="I11" i="17"/>
  <c r="J10" i="17"/>
  <c r="E11" i="17"/>
  <c r="J8" i="17"/>
  <c r="J35" i="16"/>
  <c r="O9" i="16"/>
  <c r="J9" i="16"/>
  <c r="D29" i="16"/>
  <c r="N9" i="16"/>
  <c r="M9" i="16"/>
  <c r="M11" i="16" s="1"/>
  <c r="L9" i="16"/>
  <c r="K9" i="16"/>
  <c r="J23" i="16"/>
  <c r="D23" i="16"/>
  <c r="I9" i="16"/>
  <c r="H9" i="16"/>
  <c r="G9" i="16"/>
  <c r="F9" i="16"/>
  <c r="F11" i="16" s="1"/>
  <c r="E9" i="16"/>
  <c r="D17" i="16"/>
  <c r="D9" i="16"/>
  <c r="N7" i="16"/>
  <c r="N11" i="16" s="1"/>
  <c r="K7" i="16"/>
  <c r="O7" i="16"/>
  <c r="O11" i="16" s="1"/>
  <c r="L7" i="16"/>
  <c r="L11" i="16" s="1"/>
  <c r="I7" i="16"/>
  <c r="I11" i="16" s="1"/>
  <c r="H7" i="16"/>
  <c r="G7" i="16"/>
  <c r="G11" i="16" s="1"/>
  <c r="E7" i="16"/>
  <c r="E11" i="16" s="1"/>
  <c r="J7" i="16"/>
  <c r="J11" i="16" s="1"/>
  <c r="D15" i="16"/>
  <c r="E4" i="16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H11" i="16" l="1"/>
  <c r="K11" i="16"/>
  <c r="D11" i="16"/>
  <c r="J10" i="16"/>
  <c r="D10" i="16"/>
  <c r="I50" i="15" l="1"/>
  <c r="H49" i="15"/>
  <c r="G49" i="15"/>
  <c r="F49" i="15"/>
  <c r="E49" i="15"/>
  <c r="I48" i="15"/>
  <c r="I45" i="15"/>
  <c r="I47" i="15" s="1"/>
  <c r="I41" i="15"/>
  <c r="H41" i="15"/>
  <c r="G41" i="15"/>
  <c r="J40" i="15"/>
  <c r="J32" i="15"/>
  <c r="J29" i="15"/>
  <c r="I29" i="15"/>
  <c r="H28" i="15"/>
  <c r="G28" i="15"/>
  <c r="F28" i="15"/>
  <c r="J27" i="15"/>
  <c r="I27" i="15"/>
  <c r="J26" i="15"/>
  <c r="I26" i="15"/>
  <c r="J21" i="15"/>
  <c r="I21" i="15"/>
  <c r="H21" i="15"/>
  <c r="A13" i="15"/>
  <c r="A24" i="15" s="1"/>
  <c r="A30" i="15" s="1"/>
  <c r="A43" i="15" s="1"/>
  <c r="J12" i="15"/>
  <c r="I12" i="15"/>
  <c r="H12" i="15"/>
  <c r="G12" i="15"/>
  <c r="F12" i="15"/>
  <c r="H11" i="15"/>
  <c r="G11" i="15"/>
  <c r="F11" i="15"/>
  <c r="E11" i="15"/>
  <c r="D11" i="15"/>
  <c r="J10" i="15"/>
  <c r="I10" i="15"/>
  <c r="J7" i="15"/>
  <c r="J9" i="15" s="1"/>
  <c r="I7" i="15"/>
  <c r="J41" i="15" l="1"/>
  <c r="I51" i="15"/>
  <c r="J36" i="15"/>
  <c r="J34" i="15"/>
  <c r="I49" i="15"/>
  <c r="I11" i="15"/>
  <c r="I9" i="15"/>
  <c r="J11" i="15"/>
  <c r="I28" i="15"/>
  <c r="J28" i="15"/>
  <c r="F12" i="11" l="1"/>
  <c r="D12" i="11"/>
  <c r="A6" i="10" l="1"/>
  <c r="A7" i="10" s="1"/>
  <c r="A8" i="10" s="1"/>
  <c r="A9" i="10" s="1"/>
  <c r="A10" i="10" s="1"/>
  <c r="A11" i="10" s="1"/>
  <c r="J23" i="8"/>
  <c r="E15" i="11" s="1"/>
  <c r="K23" i="8"/>
  <c r="L23" i="8"/>
  <c r="M23" i="8"/>
  <c r="N23" i="8"/>
  <c r="O23" i="8"/>
  <c r="F15" i="11" s="1"/>
  <c r="L15" i="8"/>
  <c r="M15" i="8"/>
  <c r="O15" i="8"/>
  <c r="F14" i="11" s="1"/>
  <c r="A7" i="8"/>
  <c r="A15" i="8" s="1"/>
  <c r="E4" i="8"/>
  <c r="F4" i="8" s="1"/>
  <c r="G4" i="8" s="1"/>
  <c r="H4" i="8" s="1"/>
  <c r="I4" i="8" s="1"/>
  <c r="J4" i="8" s="1"/>
  <c r="K4" i="8" s="1"/>
  <c r="L4" i="8" s="1"/>
  <c r="M4" i="8" s="1"/>
  <c r="N4" i="8" s="1"/>
  <c r="O4" i="8" s="1"/>
  <c r="P4" i="8" s="1"/>
  <c r="Q4" i="8" s="1"/>
  <c r="R4" i="8" s="1"/>
  <c r="S4" i="8" s="1"/>
  <c r="I28" i="7"/>
  <c r="H28" i="7"/>
  <c r="G28" i="7"/>
  <c r="F28" i="7"/>
  <c r="E28" i="7"/>
  <c r="D28" i="7"/>
  <c r="D29" i="7" s="1"/>
  <c r="I22" i="7"/>
  <c r="H22" i="7"/>
  <c r="G22" i="7"/>
  <c r="F22" i="7"/>
  <c r="E22" i="7"/>
  <c r="D22" i="7"/>
  <c r="D23" i="7" s="1"/>
  <c r="I16" i="7"/>
  <c r="H16" i="7"/>
  <c r="G16" i="7"/>
  <c r="F16" i="7"/>
  <c r="E16" i="7"/>
  <c r="D16" i="7"/>
  <c r="D17" i="7" s="1"/>
  <c r="E4" i="7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K21" i="7" l="1"/>
  <c r="I21" i="5"/>
  <c r="H21" i="5"/>
  <c r="G21" i="5"/>
  <c r="F21" i="5"/>
  <c r="E21" i="5"/>
  <c r="D21" i="5"/>
  <c r="D22" i="5" s="1"/>
  <c r="K16" i="5"/>
  <c r="I15" i="5"/>
  <c r="H15" i="5"/>
  <c r="G15" i="5"/>
  <c r="F15" i="5"/>
  <c r="E15" i="5"/>
  <c r="D15" i="5"/>
  <c r="O10" i="5"/>
  <c r="N10" i="5"/>
  <c r="M10" i="5"/>
  <c r="L10" i="5"/>
  <c r="K10" i="5"/>
  <c r="J10" i="5"/>
  <c r="E4" i="5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O28" i="8"/>
  <c r="N28" i="8"/>
  <c r="M28" i="8"/>
  <c r="L28" i="8"/>
  <c r="K28" i="8"/>
  <c r="J28" i="8"/>
  <c r="I40" i="4"/>
  <c r="H40" i="4"/>
  <c r="H28" i="8" s="1"/>
  <c r="G40" i="4"/>
  <c r="G28" i="8" s="1"/>
  <c r="F40" i="4"/>
  <c r="F28" i="8" s="1"/>
  <c r="E40" i="4"/>
  <c r="E28" i="8" s="1"/>
  <c r="D40" i="4"/>
  <c r="O27" i="8"/>
  <c r="N27" i="8"/>
  <c r="M27" i="8"/>
  <c r="L27" i="8"/>
  <c r="K27" i="8"/>
  <c r="I34" i="4"/>
  <c r="I27" i="8" s="1"/>
  <c r="H34" i="4"/>
  <c r="H27" i="8" s="1"/>
  <c r="G34" i="4"/>
  <c r="G27" i="8" s="1"/>
  <c r="F34" i="4"/>
  <c r="F27" i="8" s="1"/>
  <c r="E34" i="4"/>
  <c r="E27" i="8" s="1"/>
  <c r="D34" i="4"/>
  <c r="O28" i="4"/>
  <c r="O26" i="8" s="1"/>
  <c r="N28" i="4"/>
  <c r="N26" i="8" s="1"/>
  <c r="M28" i="4"/>
  <c r="M26" i="8" s="1"/>
  <c r="L28" i="4"/>
  <c r="L26" i="8" s="1"/>
  <c r="K28" i="4"/>
  <c r="J26" i="8"/>
  <c r="I28" i="4"/>
  <c r="I26" i="8" s="1"/>
  <c r="H28" i="4"/>
  <c r="H26" i="8" s="1"/>
  <c r="G28" i="4"/>
  <c r="G26" i="8" s="1"/>
  <c r="F28" i="4"/>
  <c r="F26" i="8" s="1"/>
  <c r="E28" i="4"/>
  <c r="E26" i="8" s="1"/>
  <c r="D28" i="4"/>
  <c r="N25" i="8"/>
  <c r="M22" i="4"/>
  <c r="M25" i="8" s="1"/>
  <c r="L25" i="8"/>
  <c r="K25" i="8"/>
  <c r="J25" i="8"/>
  <c r="I22" i="4"/>
  <c r="H22" i="4"/>
  <c r="H25" i="8" s="1"/>
  <c r="G22" i="4"/>
  <c r="G25" i="8" s="1"/>
  <c r="F22" i="4"/>
  <c r="F25" i="8" s="1"/>
  <c r="E22" i="4"/>
  <c r="E25" i="8" s="1"/>
  <c r="D22" i="4"/>
  <c r="N24" i="8"/>
  <c r="M24" i="8"/>
  <c r="L24" i="8"/>
  <c r="K24" i="8"/>
  <c r="J24" i="8"/>
  <c r="I16" i="4"/>
  <c r="H16" i="4"/>
  <c r="H24" i="8" s="1"/>
  <c r="G16" i="4"/>
  <c r="G24" i="8" s="1"/>
  <c r="F16" i="4"/>
  <c r="F24" i="8" s="1"/>
  <c r="E16" i="4"/>
  <c r="E24" i="8" s="1"/>
  <c r="D16" i="4"/>
  <c r="O11" i="4"/>
  <c r="N11" i="4"/>
  <c r="M11" i="4"/>
  <c r="L11" i="4"/>
  <c r="J11" i="4"/>
  <c r="K11" i="4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L11" i="3"/>
  <c r="M11" i="3"/>
  <c r="O11" i="3"/>
  <c r="N21" i="8"/>
  <c r="M21" i="8"/>
  <c r="L21" i="8"/>
  <c r="K21" i="8"/>
  <c r="J21" i="8"/>
  <c r="I46" i="3"/>
  <c r="I21" i="8" s="1"/>
  <c r="H46" i="3"/>
  <c r="H21" i="8" s="1"/>
  <c r="G46" i="3"/>
  <c r="G21" i="8" s="1"/>
  <c r="F46" i="3"/>
  <c r="F21" i="8" s="1"/>
  <c r="E46" i="3"/>
  <c r="E21" i="8" s="1"/>
  <c r="D46" i="3"/>
  <c r="D47" i="3" s="1"/>
  <c r="O20" i="8"/>
  <c r="N20" i="8"/>
  <c r="M20" i="8"/>
  <c r="L20" i="8"/>
  <c r="K20" i="8"/>
  <c r="I40" i="3"/>
  <c r="I20" i="8" s="1"/>
  <c r="H40" i="3"/>
  <c r="H20" i="8" s="1"/>
  <c r="G40" i="3"/>
  <c r="G20" i="8" s="1"/>
  <c r="F40" i="3"/>
  <c r="F20" i="8" s="1"/>
  <c r="E40" i="3"/>
  <c r="E20" i="8" s="1"/>
  <c r="D40" i="3"/>
  <c r="O19" i="8"/>
  <c r="N19" i="8"/>
  <c r="M19" i="8"/>
  <c r="L19" i="8"/>
  <c r="K19" i="8"/>
  <c r="J19" i="8"/>
  <c r="I34" i="3"/>
  <c r="H34" i="3"/>
  <c r="H19" i="8" s="1"/>
  <c r="G34" i="3"/>
  <c r="G19" i="8" s="1"/>
  <c r="F34" i="3"/>
  <c r="F19" i="8" s="1"/>
  <c r="E34" i="3"/>
  <c r="E19" i="8" s="1"/>
  <c r="D34" i="3"/>
  <c r="O18" i="8"/>
  <c r="N18" i="8"/>
  <c r="M18" i="8"/>
  <c r="L18" i="8"/>
  <c r="K18" i="8"/>
  <c r="I28" i="3"/>
  <c r="H28" i="3"/>
  <c r="H18" i="8" s="1"/>
  <c r="G28" i="3"/>
  <c r="G18" i="8" s="1"/>
  <c r="F28" i="3"/>
  <c r="F18" i="8" s="1"/>
  <c r="E28" i="3"/>
  <c r="E18" i="8" s="1"/>
  <c r="D28" i="3"/>
  <c r="D29" i="3" s="1"/>
  <c r="O17" i="8"/>
  <c r="N17" i="8"/>
  <c r="M17" i="8"/>
  <c r="L17" i="8"/>
  <c r="K17" i="8"/>
  <c r="I22" i="3"/>
  <c r="H22" i="3"/>
  <c r="H17" i="8" s="1"/>
  <c r="G22" i="3"/>
  <c r="G17" i="8" s="1"/>
  <c r="F22" i="3"/>
  <c r="F17" i="8" s="1"/>
  <c r="E22" i="3"/>
  <c r="E17" i="8" s="1"/>
  <c r="D22" i="3"/>
  <c r="O16" i="8"/>
  <c r="N16" i="8"/>
  <c r="M16" i="3"/>
  <c r="M16" i="8" s="1"/>
  <c r="L16" i="8"/>
  <c r="K16" i="3"/>
  <c r="J16" i="3"/>
  <c r="I16" i="3"/>
  <c r="H16" i="3"/>
  <c r="H16" i="8" s="1"/>
  <c r="G16" i="3"/>
  <c r="G16" i="8" s="1"/>
  <c r="F16" i="3"/>
  <c r="F16" i="8" s="1"/>
  <c r="E16" i="3"/>
  <c r="E16" i="8" s="1"/>
  <c r="D16" i="3"/>
  <c r="D16" i="8" s="1"/>
  <c r="J15" i="8"/>
  <c r="E14" i="11" s="1"/>
  <c r="K15" i="8"/>
  <c r="N15" i="8"/>
  <c r="E4" i="3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O13" i="8"/>
  <c r="N13" i="8"/>
  <c r="M13" i="8"/>
  <c r="L13" i="8"/>
  <c r="K13" i="8"/>
  <c r="J13" i="8"/>
  <c r="I46" i="2"/>
  <c r="I13" i="8" s="1"/>
  <c r="H46" i="2"/>
  <c r="H13" i="8" s="1"/>
  <c r="G46" i="2"/>
  <c r="G13" i="8" s="1"/>
  <c r="F46" i="2"/>
  <c r="F13" i="8" s="1"/>
  <c r="E46" i="2"/>
  <c r="E13" i="8" s="1"/>
  <c r="D46" i="2"/>
  <c r="O12" i="8"/>
  <c r="N12" i="8"/>
  <c r="M12" i="8"/>
  <c r="L12" i="8"/>
  <c r="K12" i="8"/>
  <c r="J12" i="8"/>
  <c r="I40" i="2"/>
  <c r="I12" i="8" s="1"/>
  <c r="H40" i="2"/>
  <c r="H12" i="8" s="1"/>
  <c r="G40" i="2"/>
  <c r="G12" i="8" s="1"/>
  <c r="F40" i="2"/>
  <c r="F12" i="8" s="1"/>
  <c r="E40" i="2"/>
  <c r="E12" i="8" s="1"/>
  <c r="D40" i="2"/>
  <c r="O11" i="8"/>
  <c r="N11" i="8"/>
  <c r="M11" i="8"/>
  <c r="L11" i="8"/>
  <c r="K11" i="8"/>
  <c r="J11" i="8"/>
  <c r="I34" i="2"/>
  <c r="I11" i="8" s="1"/>
  <c r="H34" i="2"/>
  <c r="H11" i="8" s="1"/>
  <c r="G34" i="2"/>
  <c r="G11" i="8" s="1"/>
  <c r="F34" i="2"/>
  <c r="F11" i="8" s="1"/>
  <c r="E34" i="2"/>
  <c r="E11" i="8" s="1"/>
  <c r="D34" i="2"/>
  <c r="O10" i="8"/>
  <c r="N10" i="8"/>
  <c r="M10" i="8"/>
  <c r="L10" i="8"/>
  <c r="K10" i="8"/>
  <c r="J10" i="8"/>
  <c r="I28" i="2"/>
  <c r="H28" i="2"/>
  <c r="H10" i="8" s="1"/>
  <c r="G28" i="2"/>
  <c r="G10" i="8" s="1"/>
  <c r="F28" i="2"/>
  <c r="F10" i="8" s="1"/>
  <c r="E28" i="2"/>
  <c r="E10" i="8" s="1"/>
  <c r="D28" i="2"/>
  <c r="O9" i="8"/>
  <c r="N9" i="8"/>
  <c r="M9" i="8"/>
  <c r="L9" i="8"/>
  <c r="K9" i="8"/>
  <c r="J9" i="8"/>
  <c r="I22" i="2"/>
  <c r="I9" i="8" s="1"/>
  <c r="H22" i="2"/>
  <c r="H9" i="8" s="1"/>
  <c r="G22" i="2"/>
  <c r="G9" i="8" s="1"/>
  <c r="F22" i="2"/>
  <c r="F9" i="8" s="1"/>
  <c r="E22" i="2"/>
  <c r="E9" i="8" s="1"/>
  <c r="D22" i="2"/>
  <c r="O8" i="8"/>
  <c r="N8" i="8"/>
  <c r="M8" i="8"/>
  <c r="L8" i="8"/>
  <c r="K8" i="8"/>
  <c r="J8" i="8"/>
  <c r="I16" i="2"/>
  <c r="I8" i="8" s="1"/>
  <c r="H16" i="2"/>
  <c r="H8" i="8" s="1"/>
  <c r="G16" i="2"/>
  <c r="G8" i="8" s="1"/>
  <c r="F16" i="2"/>
  <c r="F8" i="8" s="1"/>
  <c r="E16" i="2"/>
  <c r="E8" i="8" s="1"/>
  <c r="D16" i="2"/>
  <c r="E4" i="2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I29" i="1"/>
  <c r="I9" i="4" s="1"/>
  <c r="H29" i="1"/>
  <c r="H9" i="4" s="1"/>
  <c r="H23" i="8" s="1"/>
  <c r="G29" i="1"/>
  <c r="G9" i="4" s="1"/>
  <c r="G23" i="8" s="1"/>
  <c r="F29" i="1"/>
  <c r="F9" i="4" s="1"/>
  <c r="F23" i="8" s="1"/>
  <c r="E29" i="1"/>
  <c r="E9" i="4" s="1"/>
  <c r="E23" i="8" s="1"/>
  <c r="D29" i="1"/>
  <c r="I22" i="1"/>
  <c r="I9" i="3" s="1"/>
  <c r="I15" i="8" s="1"/>
  <c r="D14" i="11" s="1"/>
  <c r="D8" i="5" l="1"/>
  <c r="D10" i="5" s="1"/>
  <c r="F8" i="5"/>
  <c r="F10" i="5" s="1"/>
  <c r="H8" i="5"/>
  <c r="H10" i="5" s="1"/>
  <c r="E8" i="5"/>
  <c r="E10" i="5" s="1"/>
  <c r="G8" i="5"/>
  <c r="G10" i="5" s="1"/>
  <c r="I8" i="5"/>
  <c r="I10" i="5" s="1"/>
  <c r="D26" i="8"/>
  <c r="D29" i="4"/>
  <c r="D27" i="8"/>
  <c r="D35" i="4"/>
  <c r="D24" i="8"/>
  <c r="D17" i="4"/>
  <c r="D25" i="8"/>
  <c r="D23" i="4"/>
  <c r="K26" i="8"/>
  <c r="K29" i="4"/>
  <c r="D28" i="8"/>
  <c r="D41" i="4"/>
  <c r="J16" i="8"/>
  <c r="D17" i="3"/>
  <c r="D17" i="8"/>
  <c r="D23" i="3"/>
  <c r="D19" i="8"/>
  <c r="D35" i="3"/>
  <c r="D20" i="8"/>
  <c r="D41" i="3"/>
  <c r="K16" i="8"/>
  <c r="K17" i="3"/>
  <c r="D8" i="8"/>
  <c r="D17" i="2"/>
  <c r="D9" i="8"/>
  <c r="D23" i="2"/>
  <c r="D10" i="8"/>
  <c r="D29" i="2"/>
  <c r="D11" i="8"/>
  <c r="D35" i="2"/>
  <c r="D12" i="8"/>
  <c r="D41" i="2"/>
  <c r="D13" i="8"/>
  <c r="D47" i="2"/>
  <c r="I23" i="8"/>
  <c r="D15" i="11" s="1"/>
  <c r="I11" i="3"/>
  <c r="E11" i="4"/>
  <c r="H11" i="4"/>
  <c r="D9" i="4"/>
  <c r="D10" i="4" s="1"/>
  <c r="D30" i="1"/>
  <c r="G11" i="4"/>
  <c r="F11" i="4"/>
  <c r="I11" i="4"/>
  <c r="D16" i="5"/>
  <c r="J7" i="8"/>
  <c r="E13" i="11" s="1"/>
  <c r="L11" i="2"/>
  <c r="L7" i="8"/>
  <c r="N11" i="2"/>
  <c r="N7" i="8"/>
  <c r="I10" i="8"/>
  <c r="J17" i="8"/>
  <c r="D18" i="8"/>
  <c r="J18" i="8"/>
  <c r="J20" i="8"/>
  <c r="D21" i="8"/>
  <c r="K11" i="3"/>
  <c r="I24" i="8"/>
  <c r="O24" i="8"/>
  <c r="I25" i="8"/>
  <c r="O25" i="8"/>
  <c r="I28" i="8"/>
  <c r="K11" i="2"/>
  <c r="K7" i="8"/>
  <c r="M11" i="2"/>
  <c r="M7" i="8"/>
  <c r="O11" i="2"/>
  <c r="O7" i="8"/>
  <c r="F13" i="11" s="1"/>
  <c r="I16" i="8"/>
  <c r="I17" i="8"/>
  <c r="I18" i="8"/>
  <c r="I19" i="8"/>
  <c r="O21" i="8"/>
  <c r="N11" i="3"/>
  <c r="J11" i="3"/>
  <c r="F11" i="3"/>
  <c r="J27" i="8"/>
  <c r="J9" i="5"/>
  <c r="D9" i="5"/>
  <c r="D11" i="4"/>
  <c r="H22" i="1"/>
  <c r="H9" i="3" s="1"/>
  <c r="H15" i="8" s="1"/>
  <c r="G22" i="1"/>
  <c r="G9" i="3" s="1"/>
  <c r="G15" i="8" s="1"/>
  <c r="F22" i="1"/>
  <c r="F9" i="3" s="1"/>
  <c r="F15" i="8" s="1"/>
  <c r="E22" i="1"/>
  <c r="E9" i="3" s="1"/>
  <c r="E15" i="8" s="1"/>
  <c r="D22" i="1"/>
  <c r="D23" i="1" s="1"/>
  <c r="I15" i="1"/>
  <c r="I9" i="2" s="1"/>
  <c r="I11" i="2" s="1"/>
  <c r="H15" i="1"/>
  <c r="H9" i="2" s="1"/>
  <c r="H7" i="8" s="1"/>
  <c r="G15" i="1"/>
  <c r="G9" i="2" s="1"/>
  <c r="G11" i="2" s="1"/>
  <c r="F15" i="1"/>
  <c r="F9" i="2" s="1"/>
  <c r="F7" i="8" s="1"/>
  <c r="E15" i="1"/>
  <c r="E9" i="2" s="1"/>
  <c r="E11" i="2" s="1"/>
  <c r="D15" i="1"/>
  <c r="D16" i="1" s="1"/>
  <c r="I8" i="1"/>
  <c r="H8" i="1"/>
  <c r="G8" i="1"/>
  <c r="F8" i="1"/>
  <c r="E8" i="1"/>
  <c r="D8" i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E9" i="7" l="1"/>
  <c r="E6" i="8" s="1"/>
  <c r="D8" i="20"/>
  <c r="D28" i="20" s="1"/>
  <c r="I9" i="7"/>
  <c r="I7" i="8"/>
  <c r="D13" i="11" s="1"/>
  <c r="G7" i="8"/>
  <c r="E7" i="8"/>
  <c r="H11" i="2"/>
  <c r="F11" i="2"/>
  <c r="G11" i="3"/>
  <c r="D23" i="8"/>
  <c r="G9" i="7"/>
  <c r="G11" i="7" s="1"/>
  <c r="D9" i="7"/>
  <c r="D10" i="7" s="1"/>
  <c r="D9" i="1"/>
  <c r="F9" i="7"/>
  <c r="H9" i="7"/>
  <c r="D9" i="2"/>
  <c r="D9" i="3"/>
  <c r="H11" i="3"/>
  <c r="E11" i="3"/>
  <c r="E11" i="7"/>
  <c r="K6" i="8"/>
  <c r="K11" i="7"/>
  <c r="O6" i="8"/>
  <c r="O11" i="7"/>
  <c r="G6" i="8"/>
  <c r="I6" i="8"/>
  <c r="I11" i="7"/>
  <c r="M11" i="7"/>
  <c r="M6" i="8"/>
  <c r="D6" i="8"/>
  <c r="D11" i="7"/>
  <c r="F6" i="8"/>
  <c r="F11" i="7"/>
  <c r="H11" i="7"/>
  <c r="H6" i="8"/>
  <c r="J11" i="7"/>
  <c r="J6" i="8"/>
  <c r="E12" i="11" s="1"/>
  <c r="L11" i="7"/>
  <c r="L6" i="8"/>
  <c r="N11" i="7"/>
  <c r="N6" i="8"/>
  <c r="D75" i="20" l="1"/>
  <c r="D83" i="20" s="1"/>
  <c r="E30" i="20"/>
  <c r="D10" i="3"/>
  <c r="D15" i="8"/>
  <c r="D11" i="3"/>
  <c r="D10" i="2"/>
  <c r="D7" i="8"/>
  <c r="D11" i="2"/>
</calcChain>
</file>

<file path=xl/sharedStrings.xml><?xml version="1.0" encoding="utf-8"?>
<sst xmlns="http://schemas.openxmlformats.org/spreadsheetml/2006/main" count="1541" uniqueCount="374">
  <si>
    <t>№</t>
  </si>
  <si>
    <t>Показатель</t>
  </si>
  <si>
    <t>Ед. измерения</t>
  </si>
  <si>
    <t>1 фунт = кг</t>
  </si>
  <si>
    <t>Мировой рынок УВ</t>
  </si>
  <si>
    <t>млн долл. США</t>
  </si>
  <si>
    <t>1.1</t>
  </si>
  <si>
    <t>%</t>
  </si>
  <si>
    <t>Источник</t>
  </si>
  <si>
    <t>2.1</t>
  </si>
  <si>
    <t>тыс. тонн</t>
  </si>
  <si>
    <t>Авиационная промышленность</t>
  </si>
  <si>
    <t>3.1</t>
  </si>
  <si>
    <t>Прочие отрасли промышленность</t>
  </si>
  <si>
    <t>4.1</t>
  </si>
  <si>
    <t>Спорт</t>
  </si>
  <si>
    <t>CAGR, тыс. тонн</t>
  </si>
  <si>
    <t>CAGR,  тыс. тонн</t>
  </si>
  <si>
    <t>CAGR, долл. США</t>
  </si>
  <si>
    <t>CAGR,  долл. США</t>
  </si>
  <si>
    <t>Ср. стоимость УВ</t>
  </si>
  <si>
    <t>долл. США / кг</t>
  </si>
  <si>
    <t>Расчет</t>
  </si>
  <si>
    <t>1. Мировой рынок, всего</t>
  </si>
  <si>
    <t>1.1.1</t>
  </si>
  <si>
    <t>1.2</t>
  </si>
  <si>
    <t>1.2.1</t>
  </si>
  <si>
    <t>1.3</t>
  </si>
  <si>
    <t>2. Коммерческая авиация</t>
  </si>
  <si>
    <t>2.1.1</t>
  </si>
  <si>
    <t>2.2</t>
  </si>
  <si>
    <t>2.2.1</t>
  </si>
  <si>
    <t>3. Региональные лайнеры</t>
  </si>
  <si>
    <t>3.1.1</t>
  </si>
  <si>
    <t>3.2</t>
  </si>
  <si>
    <t>3.2.1</t>
  </si>
  <si>
    <t>4. Авиация общего назначения</t>
  </si>
  <si>
    <t>4.1.1</t>
  </si>
  <si>
    <t>4.2</t>
  </si>
  <si>
    <t>4.2.1</t>
  </si>
  <si>
    <t>5. Вертолеты</t>
  </si>
  <si>
    <t>5.1</t>
  </si>
  <si>
    <t>5.1.1</t>
  </si>
  <si>
    <t>5.2</t>
  </si>
  <si>
    <t>5.2.1</t>
  </si>
  <si>
    <t>7. Космос</t>
  </si>
  <si>
    <t>6. Оборона</t>
  </si>
  <si>
    <t>2. Судостроение</t>
  </si>
  <si>
    <t>3. Ветроэнергетика</t>
  </si>
  <si>
    <t>4. Автомобилестроение</t>
  </si>
  <si>
    <t>5. Строительство</t>
  </si>
  <si>
    <t>7. Прочее</t>
  </si>
  <si>
    <t>6. Электорника</t>
  </si>
  <si>
    <t>2. Гольф</t>
  </si>
  <si>
    <t>3. Ракетки</t>
  </si>
  <si>
    <t>4. Лыжи, сноуборды, зимние виды спорта</t>
  </si>
  <si>
    <t>5. Удочки</t>
  </si>
  <si>
    <t>6. Прочее</t>
  </si>
  <si>
    <t>Мировой рынок прекурсора</t>
  </si>
  <si>
    <t>Ср. стоимость прекурсора</t>
  </si>
  <si>
    <t>2. ПАН-прикурсор</t>
  </si>
  <si>
    <t>3. Мезофазный пек</t>
  </si>
  <si>
    <t>6.1</t>
  </si>
  <si>
    <t>2. Северная Америка</t>
  </si>
  <si>
    <t>3. Европа</t>
  </si>
  <si>
    <t>4. Остальной мир</t>
  </si>
  <si>
    <t xml:space="preserve">Мировой рынок </t>
  </si>
  <si>
    <t>1</t>
  </si>
  <si>
    <t>Авиация</t>
  </si>
  <si>
    <t>Промышленность</t>
  </si>
  <si>
    <t>Коммерческая авиация</t>
  </si>
  <si>
    <t>Региональные лайнеры</t>
  </si>
  <si>
    <t>Авиация общего назначения</t>
  </si>
  <si>
    <t>Вертолеты</t>
  </si>
  <si>
    <t>Оборона</t>
  </si>
  <si>
    <t>Космос</t>
  </si>
  <si>
    <t>2.3</t>
  </si>
  <si>
    <t>2.4</t>
  </si>
  <si>
    <t>2.5</t>
  </si>
  <si>
    <t>2.6</t>
  </si>
  <si>
    <t xml:space="preserve">Судостроение </t>
  </si>
  <si>
    <t>Ветроэнергетика</t>
  </si>
  <si>
    <t>Автомобилестроение</t>
  </si>
  <si>
    <t>Строительство</t>
  </si>
  <si>
    <t>Электроника</t>
  </si>
  <si>
    <t>Прочее</t>
  </si>
  <si>
    <t>4</t>
  </si>
  <si>
    <t>3.3</t>
  </si>
  <si>
    <t>3.4</t>
  </si>
  <si>
    <t>3.5</t>
  </si>
  <si>
    <t>3.6</t>
  </si>
  <si>
    <t>Гольф</t>
  </si>
  <si>
    <t>Ракетки</t>
  </si>
  <si>
    <t>Лыжи, сноуборды, зимние виды спорта</t>
  </si>
  <si>
    <t>Удочки</t>
  </si>
  <si>
    <t>4.3</t>
  </si>
  <si>
    <t>4.4</t>
  </si>
  <si>
    <t>4.5</t>
  </si>
  <si>
    <t>Компания</t>
  </si>
  <si>
    <t>Toray</t>
  </si>
  <si>
    <t>Hexcel</t>
  </si>
  <si>
    <t>Teijin</t>
  </si>
  <si>
    <t>Cytec</t>
  </si>
  <si>
    <t>Mitsubishi</t>
  </si>
  <si>
    <t>SGL</t>
  </si>
  <si>
    <t>Formosa</t>
  </si>
  <si>
    <t>да</t>
  </si>
  <si>
    <t>нет</t>
  </si>
  <si>
    <t xml:space="preserve">Поставка УВ в ключевые отрасли, да / нет </t>
  </si>
  <si>
    <t>˂24К</t>
  </si>
  <si>
    <r>
      <rPr>
        <sz val="12"/>
        <color theme="0"/>
        <rFont val="Calibri"/>
        <family val="2"/>
        <charset val="204"/>
      </rPr>
      <t>˃</t>
    </r>
    <r>
      <rPr>
        <sz val="12"/>
        <color theme="0"/>
        <rFont val="Arial"/>
        <family val="2"/>
        <charset val="204"/>
      </rPr>
      <t>24</t>
    </r>
  </si>
  <si>
    <t>Производство УВ, да / нет</t>
  </si>
  <si>
    <t>Стандартный модуль упругости (˂280 ГПА)</t>
  </si>
  <si>
    <t>Средний модель упругости (280-350 ГПА)</t>
  </si>
  <si>
    <t>Высокий модуль упругости (˃350 ГПА)</t>
  </si>
  <si>
    <t>Наличие собственного ПАН-прекурсора</t>
  </si>
  <si>
    <t>Наличие производства полуфабрикатов (в т.ч., тканей, препрегов и пр.)</t>
  </si>
  <si>
    <t>Стоимость УВ (ценовой диапазон)</t>
  </si>
  <si>
    <t>17,6-330,7</t>
  </si>
  <si>
    <t>17,6-308,6</t>
  </si>
  <si>
    <t>Средняя стоимость УВ</t>
  </si>
  <si>
    <t>14-28</t>
  </si>
  <si>
    <t>Мир</t>
  </si>
  <si>
    <t>1.4</t>
  </si>
  <si>
    <t>20-30</t>
  </si>
  <si>
    <t>30-50</t>
  </si>
  <si>
    <t>15-25</t>
  </si>
  <si>
    <t>15-30</t>
  </si>
  <si>
    <t>25-45</t>
  </si>
  <si>
    <t>Рынок готовых изделий из УВ</t>
  </si>
  <si>
    <t>млрд долл.США</t>
  </si>
  <si>
    <t>Средняя рентабельность УВ</t>
  </si>
  <si>
    <t>Рентабильность готовых изделий из УВ</t>
  </si>
  <si>
    <t>5</t>
  </si>
  <si>
    <t>Средняя стоимость готовых изделий из УВ</t>
  </si>
  <si>
    <t>5.3</t>
  </si>
  <si>
    <t>5.4</t>
  </si>
  <si>
    <t>55,1-110,2</t>
  </si>
  <si>
    <t>110,2-1433,0</t>
  </si>
  <si>
    <t>110,2-1322,8</t>
  </si>
  <si>
    <t>33,1-105,8</t>
  </si>
  <si>
    <t>37,5-110,2</t>
  </si>
  <si>
    <t>-</t>
  </si>
  <si>
    <t>Toray + Zoltek</t>
  </si>
  <si>
    <t>Курс долл США к йене</t>
  </si>
  <si>
    <t>Выручка</t>
  </si>
  <si>
    <t>млн долл</t>
  </si>
  <si>
    <t>Расходы на R&amp;D</t>
  </si>
  <si>
    <t>Доля расходов на R&amp;D от выручки</t>
  </si>
  <si>
    <t>Инвестиции</t>
  </si>
  <si>
    <t>Выручка ПКМ</t>
  </si>
  <si>
    <t>Mitsubishi Chemical (MCCFC)</t>
  </si>
  <si>
    <t>SGL Carbon</t>
  </si>
  <si>
    <t>Курс долл США к евро</t>
  </si>
  <si>
    <t>Teijin (Toho Tenax)</t>
  </si>
  <si>
    <t>5. Остальной мир</t>
  </si>
  <si>
    <t>4. Азиатско-Тихоокеанский регион</t>
  </si>
  <si>
    <t>Мировой рынок углепластиков</t>
  </si>
  <si>
    <t>Ср. стоимость углепластиков</t>
  </si>
  <si>
    <t>Lucintel, стр. 90</t>
  </si>
  <si>
    <t>Мировой рынок тканей из УВ</t>
  </si>
  <si>
    <t>Ср. стоимость тканей из УВ</t>
  </si>
  <si>
    <t>Lucintel, стр. 89</t>
  </si>
  <si>
    <t>Lucintel, стр. 91</t>
  </si>
  <si>
    <t>Комментарий</t>
  </si>
  <si>
    <t>Lucintel, стр. 88</t>
  </si>
  <si>
    <t>Маржинальность</t>
  </si>
  <si>
    <t>в т.ч., на сделки M&amp;A</t>
  </si>
  <si>
    <t xml:space="preserve">Валовая прибыль </t>
  </si>
  <si>
    <t>Выручка от продаж УВ</t>
  </si>
  <si>
    <t>EBITDA</t>
  </si>
  <si>
    <t>Мировой рынок препрегов из УВ</t>
  </si>
  <si>
    <t xml:space="preserve">Researchandmarkets, https://www.researchandmarkets.com/reports/5530568/carbon-fiber-prepreg-market-global-industry?utm_source=GNOM&amp;utm_medium=PressRelease&amp;utm_code=vm8fcs&amp;utm_campaign=1474823+-+Global+Carbon+Fiber+Prepreg+Market+Trends%2c+and+Forecasts%2c+2014-2019+%26+2020-2025&amp;utm_exec=chdo54prd </t>
  </si>
  <si>
    <t>Researchandmarkets,https://www.researchandmarkets.com/reports/4761593/carbon-fiber-textile-market-report-trends#tag-pos-1</t>
  </si>
  <si>
    <t>1.3.1</t>
  </si>
  <si>
    <t>Мировой рынок  УВ</t>
  </si>
  <si>
    <t>Mordor Intelligence, https://www.researchandmarkets.com/reports/4536316/carbon-fiber-market-growth-trends-covid-19</t>
  </si>
  <si>
    <t>Infogence Global Research, https://www.researchandmarkets.com/reports/5503423/global-carbon-fiber-prepreg-market-2021-2026-by</t>
  </si>
  <si>
    <t>26,5-108</t>
  </si>
  <si>
    <t>18-23</t>
  </si>
  <si>
    <t>17-23</t>
  </si>
  <si>
    <t>14-22</t>
  </si>
  <si>
    <t>40-50</t>
  </si>
  <si>
    <t>14-50</t>
  </si>
  <si>
    <t>24,3-103,6</t>
  </si>
  <si>
    <t>Источник данных</t>
  </si>
  <si>
    <t>1.1.</t>
  </si>
  <si>
    <t>1.2.</t>
  </si>
  <si>
    <t>CAGR</t>
  </si>
  <si>
    <t>2.1.</t>
  </si>
  <si>
    <t>2.2.</t>
  </si>
  <si>
    <t>3.1.</t>
  </si>
  <si>
    <t>3.2.</t>
  </si>
  <si>
    <t>4.1.</t>
  </si>
  <si>
    <t>4.2.</t>
  </si>
  <si>
    <t>- значения из отчетов</t>
  </si>
  <si>
    <t>Производитель</t>
  </si>
  <si>
    <t xml:space="preserve">Тoray </t>
  </si>
  <si>
    <t>New capacity Zoltek</t>
  </si>
  <si>
    <t xml:space="preserve">New capacity </t>
  </si>
  <si>
    <t>МССFC</t>
  </si>
  <si>
    <t xml:space="preserve">Teijin </t>
  </si>
  <si>
    <t>5.1.</t>
  </si>
  <si>
    <t>6.1.</t>
  </si>
  <si>
    <t>Solvay</t>
  </si>
  <si>
    <t>7.1.</t>
  </si>
  <si>
    <t>ZHONGFU (Китай)</t>
  </si>
  <si>
    <t>8.1.</t>
  </si>
  <si>
    <t>DowAksa</t>
  </si>
  <si>
    <t>9.1.</t>
  </si>
  <si>
    <t>Hyosung</t>
  </si>
  <si>
    <t>10.1.</t>
  </si>
  <si>
    <t>Umatex</t>
  </si>
  <si>
    <t>11.1.</t>
  </si>
  <si>
    <t>Остальные</t>
  </si>
  <si>
    <t>12.1.</t>
  </si>
  <si>
    <t>12.1.1.</t>
  </si>
  <si>
    <t>Kangde (Китай)</t>
  </si>
  <si>
    <t>12.1.2.</t>
  </si>
  <si>
    <t>Jilin Jinggong Carbon Fiber Co. Ltd. (Китай)</t>
  </si>
  <si>
    <t>13.</t>
  </si>
  <si>
    <t>Total</t>
  </si>
  <si>
    <t>13.1.</t>
  </si>
  <si>
    <t xml:space="preserve">3. Market balance </t>
  </si>
  <si>
    <t>Сценарий № 1 - Консервативный</t>
  </si>
  <si>
    <t>- превышение спроса над предложением</t>
  </si>
  <si>
    <t>1. Потребление</t>
  </si>
  <si>
    <t>В 2025 г. Toray во Франции запускает новую линию УВ мощностью 1 тыс. тонн (стоимость 100 млн евро)</t>
  </si>
  <si>
    <t>https://www.chemanalyst.com/industry-report/carbon-fiber-market-676</t>
  </si>
  <si>
    <t>5.2.</t>
  </si>
  <si>
    <t>https://www.researchandmarkets.com/reports/4536316/carbon-fiber-market-growth-trends-covid-19</t>
  </si>
  <si>
    <t>Открытие новой линии УВ 2,5 тыс. тонн в Чонджу (Ю.Корея) в апреле 2023 г.</t>
  </si>
  <si>
    <t>Потребление</t>
  </si>
  <si>
    <t>2. Composites united 2021</t>
  </si>
  <si>
    <t>3. Dan Pichler 2021</t>
  </si>
  <si>
    <t>4. ChemAnalyst 2022</t>
  </si>
  <si>
    <t>1. Lucintel 2022</t>
  </si>
  <si>
    <t>5. ResearchAndMarkets 2022</t>
  </si>
  <si>
    <t>6. Сред. Значение</t>
  </si>
  <si>
    <t>2. Производственные мощности</t>
  </si>
  <si>
    <t>Ср. рост</t>
  </si>
  <si>
    <t>тыс тонн</t>
  </si>
  <si>
    <t>год</t>
  </si>
  <si>
    <t>Баланс рынка</t>
  </si>
  <si>
    <t>Производственные мощности</t>
  </si>
  <si>
    <t>Уровень загрузки</t>
  </si>
  <si>
    <t>Производство</t>
  </si>
  <si>
    <t>Доля рынка УВ*, %</t>
  </si>
  <si>
    <t>* по производственной мощности</t>
  </si>
  <si>
    <t>Lucintel</t>
  </si>
  <si>
    <t>CAGR,% (в деньгах)</t>
  </si>
  <si>
    <t>CAGR,% (в тоннах)</t>
  </si>
  <si>
    <t>Cтоимость 1 кг/долл.США</t>
  </si>
  <si>
    <t>Researchandmarkets</t>
  </si>
  <si>
    <t>Grand View Research</t>
  </si>
  <si>
    <t>CAGR,%</t>
  </si>
  <si>
    <t>MarketsandMarkets</t>
  </si>
  <si>
    <t>Проверка</t>
  </si>
  <si>
    <t>Мировой рынок УВ (консервативный сценарий)</t>
  </si>
  <si>
    <t>Ср. значение Lucintel + Researchandmarkets</t>
  </si>
  <si>
    <t>Мировой рынок УВ (базовый сценарий)</t>
  </si>
  <si>
    <t>Мировой рынок УВ (оптимистичный сценарий)</t>
  </si>
  <si>
    <t>Российский рынок УВ (консервативный сценарий)</t>
  </si>
  <si>
    <t>млн руб.</t>
  </si>
  <si>
    <t>ООО "ИГ "Инфомайн"</t>
  </si>
  <si>
    <t>тонн</t>
  </si>
  <si>
    <t>Российский рынок УВ (базовый сценарий)</t>
  </si>
  <si>
    <t>консервативный ценарий + проект "Линия УВ-500)</t>
  </si>
  <si>
    <t>Линия УВ-500</t>
  </si>
  <si>
    <t>ФЭМ ver 1.5</t>
  </si>
  <si>
    <t>Cтоимость 1 кг/тыс. руб.</t>
  </si>
  <si>
    <t>Российский рынок УВ (оптимистичный сценарий)</t>
  </si>
  <si>
    <t>базовый сценарий + линия 10 тыс. тонн (Татнефть)</t>
  </si>
  <si>
    <t>Линия УВ-10000 (Татнефть)</t>
  </si>
  <si>
    <t>Анализ объема потребления готовых изделий на основе углеродного волокна в Российской Федерации в 2019-2021 гг. в стоимостном выражении (млн руб.)</t>
  </si>
  <si>
    <t xml:space="preserve">Показатель </t>
  </si>
  <si>
    <t xml:space="preserve">Ед. изм. </t>
  </si>
  <si>
    <t>1.</t>
  </si>
  <si>
    <t>ПКМ на основе углеволокна</t>
  </si>
  <si>
    <t>Углеволокна</t>
  </si>
  <si>
    <t>1.1.1.</t>
  </si>
  <si>
    <t>Производство в РФ*</t>
  </si>
  <si>
    <t>ООО Алабуга-Волокно</t>
  </si>
  <si>
    <t xml:space="preserve">млн. руб. </t>
  </si>
  <si>
    <t>ООО ЗУКМ</t>
  </si>
  <si>
    <t>ООО Аргон</t>
  </si>
  <si>
    <t>ВСЕГО</t>
  </si>
  <si>
    <t>1.1.2.</t>
  </si>
  <si>
    <t>Импорт*</t>
  </si>
  <si>
    <t>ЭПМ-Новочеркас электрод. з-д</t>
  </si>
  <si>
    <t>ПАО Ковровский механический завод</t>
  </si>
  <si>
    <t xml:space="preserve"> ООО Препрег-Дубна</t>
  </si>
  <si>
    <t xml:space="preserve">ООО Нанотехнологический центр композитов </t>
  </si>
  <si>
    <t>АО Препрег-СКМ</t>
  </si>
  <si>
    <t>ООО ФНМ "Весь мир"</t>
  </si>
  <si>
    <t>ООО Соболь</t>
  </si>
  <si>
    <t>НИЦ Курчатовский институт-ВИАМ</t>
  </si>
  <si>
    <t>ООО НПО Центротех</t>
  </si>
  <si>
    <t>АО ИСС</t>
  </si>
  <si>
    <t>ООО Порше Современные Материалы</t>
  </si>
  <si>
    <t>прочие</t>
  </si>
  <si>
    <t>1.1.3.</t>
  </si>
  <si>
    <t>Экспорт*</t>
  </si>
  <si>
    <t>1.1.4.</t>
  </si>
  <si>
    <t>Потребление в РФ</t>
  </si>
  <si>
    <t xml:space="preserve">ВСЕГО </t>
  </si>
  <si>
    <t>1.1.5.</t>
  </si>
  <si>
    <t>Потребление в готовых изделиях**</t>
  </si>
  <si>
    <t xml:space="preserve">Полуфабрикаты (ткани, ленты, препреги) </t>
  </si>
  <si>
    <t>1.2.1.</t>
  </si>
  <si>
    <t>ООО Препрег-Дубна</t>
  </si>
  <si>
    <t>ООО ИТЕКМА</t>
  </si>
  <si>
    <t>1.2.2.</t>
  </si>
  <si>
    <t>ООО Вестас Мэньюфэкчуринг Рус</t>
  </si>
  <si>
    <t>АО Уральский завод гражданской авиации</t>
  </si>
  <si>
    <t>ООО Композит-Изделия</t>
  </si>
  <si>
    <t>ООО «ЗИКА»</t>
  </si>
  <si>
    <t>ООО Метиз Импэкс</t>
  </si>
  <si>
    <t>ООО МБС Строительные системы</t>
  </si>
  <si>
    <t>ООО Авиом</t>
  </si>
  <si>
    <t>АО КАПО-Композит</t>
  </si>
  <si>
    <t>ООО Интрей Полимерные Системы</t>
  </si>
  <si>
    <t>1.2.3.</t>
  </si>
  <si>
    <t xml:space="preserve">Экспорт* </t>
  </si>
  <si>
    <t>1.2.4.</t>
  </si>
  <si>
    <t>Связующие  (смолы эпоксидные и полиэфирные)</t>
  </si>
  <si>
    <t>1.2.5.</t>
  </si>
  <si>
    <t>1.2.6.</t>
  </si>
  <si>
    <t>Потребление в виде материалов**</t>
  </si>
  <si>
    <t>1.2.7.</t>
  </si>
  <si>
    <t xml:space="preserve">Потребление в готовых изделиях </t>
  </si>
  <si>
    <t>1.3.</t>
  </si>
  <si>
    <t xml:space="preserve">Готовые изделие на основе углеволокна </t>
  </si>
  <si>
    <t>1.3.1.</t>
  </si>
  <si>
    <t>Производство в РФ</t>
  </si>
  <si>
    <t>1.3.2.</t>
  </si>
  <si>
    <t>ООО Русский энергетический дом</t>
  </si>
  <si>
    <t>НИИ Курчатовский ин-т ЦНИИ КМ Прометей</t>
  </si>
  <si>
    <t>ООО Нанотехнологический центр композитов</t>
  </si>
  <si>
    <t xml:space="preserve">АО ИСС </t>
  </si>
  <si>
    <t>ООО Метиз производство</t>
  </si>
  <si>
    <t>ООО Завод "Озон" горноспасательного оборудования</t>
  </si>
  <si>
    <t>1.3.3.</t>
  </si>
  <si>
    <t>1.4.</t>
  </si>
  <si>
    <t xml:space="preserve">ИТОГОВЫЕ ПОКАЗАТЕЛИ </t>
  </si>
  <si>
    <t xml:space="preserve">ОБЪЕМ ПОТРЕБЛЕНИЯ В РФ </t>
  </si>
  <si>
    <t xml:space="preserve">ОБЪЕМ ЗАРУБЕЖНЫХ ПРОДАЖ </t>
  </si>
  <si>
    <t>* экспертная оценка показателя в прогнозном периоде предоставляется только в части результирующего значения</t>
  </si>
  <si>
    <t>** экспертная оценка</t>
  </si>
  <si>
    <t>Анализ объема потребления готовых изделий на основе углеродного волокна в Российской Федерации в 2022 г. и экспертный прогноз в 2023-2030 гг. в стоимостном выражении (млн руб.)</t>
  </si>
  <si>
    <t>АО Три-Д</t>
  </si>
  <si>
    <t>ООО НПЦ УВИКОМ</t>
  </si>
  <si>
    <t>ООО Нивола</t>
  </si>
  <si>
    <t>АО УНИИКМ</t>
  </si>
  <si>
    <t>ООО Конверсия</t>
  </si>
  <si>
    <t>ООО ИТЕКМА-Синтез</t>
  </si>
  <si>
    <t>ПАО Уральский завод РТИ</t>
  </si>
  <si>
    <t>ПАО АК Рубин</t>
  </si>
  <si>
    <t>ООО ФНМ Весь мир</t>
  </si>
  <si>
    <t>АО ЦНИИСМ</t>
  </si>
  <si>
    <t>ООО ПКФ РАДА</t>
  </si>
  <si>
    <t xml:space="preserve"> </t>
  </si>
  <si>
    <t>ПАО НПО Искра</t>
  </si>
  <si>
    <t>АО Пермский завод "Машиностроитель"</t>
  </si>
  <si>
    <t>АО НПК Альтернативная энергетика</t>
  </si>
  <si>
    <t>ООО Композит Полимер</t>
  </si>
  <si>
    <t>ООО Акзо Нобель Коутингс</t>
  </si>
  <si>
    <t>ООО Интерхим-Сервис</t>
  </si>
  <si>
    <t>Долгопрудненское научно-производственное предприятие</t>
  </si>
  <si>
    <t>ООО Промонтаж</t>
  </si>
  <si>
    <t>ООО НПК СОК-БП</t>
  </si>
  <si>
    <t>ООО Рада Экспорт</t>
  </si>
  <si>
    <t>ООО Ходоор</t>
  </si>
  <si>
    <t>ООО Микадо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</si>
</sst>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0"/>
      <name val="Arial"/>
      <family val="2"/>
      <charset val="204"/>
    </font>
    <font>
      <sz val="12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i/>
      <sz val="9"/>
      <color indexed="8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 tint="-0.249977111117893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theme="0"/>
      </right>
      <top/>
      <bottom/>
      <diagonal/>
    </border>
    <border>
      <left style="dotted">
        <color theme="0"/>
      </left>
      <right style="dotted">
        <color theme="0"/>
      </right>
      <top/>
      <bottom/>
      <diagonal/>
    </border>
    <border>
      <left/>
      <right/>
      <top/>
      <bottom style="dotted">
        <color theme="4" tint="-0.249977111117893"/>
      </bottom>
      <diagonal/>
    </border>
    <border>
      <left/>
      <right/>
      <top style="dotted">
        <color theme="4" tint="-0.249977111117893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3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165" fontId="7" fillId="5" borderId="2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165" fontId="7" fillId="6" borderId="2" xfId="0" applyNumberFormat="1" applyFont="1" applyFill="1" applyBorder="1" applyAlignment="1">
      <alignment horizontal="center" vertical="center" wrapText="1"/>
    </xf>
    <xf numFmtId="166" fontId="7" fillId="6" borderId="3" xfId="0" applyNumberFormat="1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65" fontId="7" fillId="6" borderId="3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66" fontId="7" fillId="6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7" fillId="6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2" fontId="7" fillId="6" borderId="3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165" fontId="7" fillId="6" borderId="3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5" fontId="7" fillId="6" borderId="2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166" fontId="1" fillId="8" borderId="2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66" fontId="1" fillId="8" borderId="3" xfId="0" applyNumberFormat="1" applyFont="1" applyFill="1" applyBorder="1" applyAlignment="1">
      <alignment horizontal="center" vertical="center" wrapText="1"/>
    </xf>
    <xf numFmtId="166" fontId="11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166" fontId="1" fillId="6" borderId="3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8" borderId="0" xfId="0" applyFont="1" applyFill="1"/>
    <xf numFmtId="49" fontId="1" fillId="6" borderId="0" xfId="0" applyNumberFormat="1" applyFont="1" applyFill="1"/>
    <xf numFmtId="164" fontId="1" fillId="6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2" fillId="6" borderId="0" xfId="0" applyFont="1" applyFill="1"/>
    <xf numFmtId="0" fontId="7" fillId="0" borderId="0" xfId="0" applyFont="1"/>
    <xf numFmtId="0" fontId="12" fillId="5" borderId="8" xfId="0" applyFont="1" applyFill="1" applyBorder="1" applyAlignment="1">
      <alignment vertical="center"/>
    </xf>
    <xf numFmtId="0" fontId="7" fillId="5" borderId="9" xfId="0" applyFont="1" applyFill="1" applyBorder="1"/>
    <xf numFmtId="0" fontId="7" fillId="5" borderId="10" xfId="0" applyFont="1" applyFill="1" applyBorder="1"/>
    <xf numFmtId="0" fontId="7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7" fillId="0" borderId="14" xfId="0" applyFont="1" applyBorder="1"/>
    <xf numFmtId="0" fontId="7" fillId="11" borderId="11" xfId="0" applyFont="1" applyFill="1" applyBorder="1"/>
    <xf numFmtId="0" fontId="7" fillId="11" borderId="0" xfId="0" applyFont="1" applyFill="1" applyAlignment="1">
      <alignment horizontal="center"/>
    </xf>
    <xf numFmtId="165" fontId="7" fillId="11" borderId="0" xfId="0" applyNumberFormat="1" applyFont="1" applyFill="1"/>
    <xf numFmtId="165" fontId="7" fillId="11" borderId="14" xfId="0" applyNumberFormat="1" applyFont="1" applyFill="1" applyBorder="1"/>
    <xf numFmtId="0" fontId="7" fillId="12" borderId="11" xfId="0" applyFont="1" applyFill="1" applyBorder="1"/>
    <xf numFmtId="0" fontId="7" fillId="12" borderId="0" xfId="0" applyFont="1" applyFill="1" applyAlignment="1">
      <alignment horizontal="center"/>
    </xf>
    <xf numFmtId="164" fontId="7" fillId="12" borderId="0" xfId="0" applyNumberFormat="1" applyFont="1" applyFill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6" fontId="7" fillId="0" borderId="0" xfId="0" applyNumberFormat="1" applyFont="1"/>
    <xf numFmtId="166" fontId="7" fillId="0" borderId="14" xfId="0" applyNumberFormat="1" applyFont="1" applyBorder="1"/>
    <xf numFmtId="0" fontId="7" fillId="0" borderId="15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1" fillId="10" borderId="0" xfId="0" applyFont="1" applyFill="1"/>
    <xf numFmtId="0" fontId="1" fillId="6" borderId="0" xfId="0" applyFont="1" applyFill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4" fillId="6" borderId="0" xfId="1" applyFill="1" applyAlignment="1">
      <alignment vertical="center" wrapText="1"/>
    </xf>
    <xf numFmtId="9" fontId="1" fillId="6" borderId="3" xfId="2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166" fontId="1" fillId="6" borderId="3" xfId="2" applyNumberFormat="1" applyFont="1" applyFill="1" applyBorder="1" applyAlignment="1">
      <alignment horizontal="center" vertical="center"/>
    </xf>
    <xf numFmtId="0" fontId="12" fillId="13" borderId="12" xfId="0" applyFont="1" applyFill="1" applyBorder="1"/>
    <xf numFmtId="0" fontId="7" fillId="13" borderId="0" xfId="0" applyFont="1" applyFill="1"/>
    <xf numFmtId="165" fontId="7" fillId="13" borderId="0" xfId="0" applyNumberFormat="1" applyFont="1" applyFill="1"/>
    <xf numFmtId="166" fontId="7" fillId="13" borderId="0" xfId="0" applyNumberFormat="1" applyFont="1" applyFill="1"/>
    <xf numFmtId="0" fontId="7" fillId="13" borderId="12" xfId="0" applyFont="1" applyFill="1" applyBorder="1"/>
    <xf numFmtId="0" fontId="5" fillId="6" borderId="5" xfId="0" applyFont="1" applyFill="1" applyBorder="1" applyAlignment="1">
      <alignment horizontal="center" vertical="center" wrapText="1"/>
    </xf>
    <xf numFmtId="9" fontId="1" fillId="6" borderId="2" xfId="2" applyFont="1" applyFill="1" applyBorder="1" applyAlignment="1">
      <alignment horizontal="center" vertical="center" wrapText="1"/>
    </xf>
    <xf numFmtId="9" fontId="1" fillId="6" borderId="3" xfId="2" applyFont="1" applyFill="1" applyBorder="1" applyAlignment="1">
      <alignment horizontal="center" vertical="center" wrapText="1"/>
    </xf>
    <xf numFmtId="165" fontId="1" fillId="6" borderId="0" xfId="0" applyNumberFormat="1" applyFont="1" applyFill="1"/>
    <xf numFmtId="167" fontId="7" fillId="5" borderId="3" xfId="0" applyNumberFormat="1" applyFont="1" applyFill="1" applyBorder="1" applyAlignment="1">
      <alignment vertical="center"/>
    </xf>
    <xf numFmtId="164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49" fontId="2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horizontal="left" vertical="center" wrapText="1"/>
    </xf>
    <xf numFmtId="164" fontId="1" fillId="8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9" fontId="1" fillId="8" borderId="3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9" fontId="1" fillId="6" borderId="3" xfId="2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 wrapText="1"/>
    </xf>
    <xf numFmtId="0" fontId="4" fillId="0" borderId="0" xfId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14" borderId="16" xfId="0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165" fontId="7" fillId="0" borderId="21" xfId="0" applyNumberFormat="1" applyFont="1" applyBorder="1" applyAlignment="1">
      <alignment horizontal="center" vertical="center" wrapText="1"/>
    </xf>
    <xf numFmtId="165" fontId="7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4" fontId="7" fillId="0" borderId="25" xfId="2" applyNumberFormat="1" applyFont="1" applyFill="1" applyBorder="1" applyAlignment="1">
      <alignment horizontal="center" vertical="center" wrapText="1"/>
    </xf>
    <xf numFmtId="164" fontId="7" fillId="0" borderId="26" xfId="2" applyNumberFormat="1" applyFont="1" applyFill="1" applyBorder="1" applyAlignment="1">
      <alignment horizontal="center" vertical="center" wrapText="1"/>
    </xf>
    <xf numFmtId="164" fontId="7" fillId="0" borderId="27" xfId="2" applyNumberFormat="1" applyFont="1" applyFill="1" applyBorder="1" applyAlignment="1">
      <alignment horizontal="center" vertical="center" wrapText="1"/>
    </xf>
    <xf numFmtId="164" fontId="7" fillId="0" borderId="25" xfId="2" applyNumberFormat="1" applyFont="1" applyFill="1" applyBorder="1" applyAlignment="1">
      <alignment horizontal="center" vertical="center"/>
    </xf>
    <xf numFmtId="164" fontId="7" fillId="0" borderId="26" xfId="2" applyNumberFormat="1" applyFont="1" applyFill="1" applyBorder="1" applyAlignment="1">
      <alignment horizontal="center" vertical="center"/>
    </xf>
    <xf numFmtId="166" fontId="7" fillId="0" borderId="16" xfId="0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center" vertical="center" wrapText="1"/>
    </xf>
    <xf numFmtId="164" fontId="7" fillId="0" borderId="16" xfId="2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165" fontId="7" fillId="0" borderId="31" xfId="0" applyNumberFormat="1" applyFont="1" applyBorder="1" applyAlignment="1">
      <alignment horizontal="center" vertical="center" wrapText="1"/>
    </xf>
    <xf numFmtId="164" fontId="7" fillId="0" borderId="27" xfId="2" applyNumberFormat="1" applyFont="1" applyFill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2" fontId="7" fillId="0" borderId="18" xfId="2" applyNumberFormat="1" applyFont="1" applyFill="1" applyBorder="1" applyAlignment="1">
      <alignment horizontal="center" vertical="center"/>
    </xf>
    <xf numFmtId="2" fontId="7" fillId="0" borderId="16" xfId="2" applyNumberFormat="1" applyFont="1" applyFill="1" applyBorder="1" applyAlignment="1">
      <alignment horizontal="center" vertical="center"/>
    </xf>
    <xf numFmtId="164" fontId="7" fillId="0" borderId="16" xfId="2" applyNumberFormat="1" applyFont="1" applyFill="1" applyBorder="1" applyAlignment="1">
      <alignment horizontal="center" vertical="center"/>
    </xf>
    <xf numFmtId="2" fontId="7" fillId="0" borderId="26" xfId="2" applyNumberFormat="1" applyFont="1" applyFill="1" applyBorder="1" applyAlignment="1">
      <alignment horizontal="center" vertical="center"/>
    </xf>
    <xf numFmtId="2" fontId="7" fillId="0" borderId="32" xfId="2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2" fontId="7" fillId="0" borderId="21" xfId="2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165" fontId="7" fillId="0" borderId="31" xfId="0" applyNumberFormat="1" applyFont="1" applyBorder="1" applyAlignment="1">
      <alignment horizontal="center" vertical="center"/>
    </xf>
    <xf numFmtId="164" fontId="7" fillId="0" borderId="32" xfId="2" applyNumberFormat="1" applyFont="1" applyFill="1" applyBorder="1" applyAlignment="1">
      <alignment horizontal="center" vertical="center"/>
    </xf>
    <xf numFmtId="164" fontId="7" fillId="0" borderId="34" xfId="2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5" xfId="2" applyNumberFormat="1" applyFont="1" applyFill="1" applyBorder="1" applyAlignment="1">
      <alignment horizontal="center" vertical="center"/>
    </xf>
    <xf numFmtId="165" fontId="7" fillId="0" borderId="18" xfId="2" applyNumberFormat="1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left" vertical="center" wrapText="1"/>
    </xf>
    <xf numFmtId="0" fontId="7" fillId="12" borderId="21" xfId="0" applyFont="1" applyFill="1" applyBorder="1" applyAlignment="1">
      <alignment horizontal="left" vertical="center"/>
    </xf>
    <xf numFmtId="0" fontId="7" fillId="12" borderId="21" xfId="0" applyFont="1" applyFill="1" applyBorder="1" applyAlignment="1">
      <alignment horizontal="center" vertical="center" wrapText="1"/>
    </xf>
    <xf numFmtId="165" fontId="7" fillId="0" borderId="21" xfId="2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 wrapText="1"/>
    </xf>
    <xf numFmtId="165" fontId="7" fillId="0" borderId="20" xfId="2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165" fontId="7" fillId="0" borderId="38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165" fontId="7" fillId="0" borderId="41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165" fontId="7" fillId="0" borderId="16" xfId="2" applyNumberFormat="1" applyFont="1" applyFill="1" applyBorder="1" applyAlignment="1">
      <alignment horizontal="center" vertical="center"/>
    </xf>
    <xf numFmtId="165" fontId="7" fillId="0" borderId="42" xfId="2" applyNumberFormat="1" applyFont="1" applyFill="1" applyBorder="1" applyAlignment="1">
      <alignment horizontal="center" vertical="center"/>
    </xf>
    <xf numFmtId="165" fontId="7" fillId="0" borderId="42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 wrapText="1"/>
    </xf>
    <xf numFmtId="165" fontId="7" fillId="0" borderId="36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3" fontId="7" fillId="0" borderId="4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6" fillId="15" borderId="0" xfId="0" applyFont="1" applyFill="1" applyAlignment="1">
      <alignment vertical="center"/>
    </xf>
    <xf numFmtId="0" fontId="15" fillId="15" borderId="0" xfId="0" applyFont="1" applyFill="1" applyAlignment="1">
      <alignment vertical="center"/>
    </xf>
    <xf numFmtId="0" fontId="15" fillId="15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14" fontId="16" fillId="12" borderId="0" xfId="0" applyNumberFormat="1" applyFont="1" applyFill="1" applyAlignment="1">
      <alignment horizontal="center" vertical="center"/>
    </xf>
    <xf numFmtId="0" fontId="16" fillId="12" borderId="0" xfId="0" applyFont="1" applyFill="1" applyAlignment="1">
      <alignment vertical="center"/>
    </xf>
    <xf numFmtId="0" fontId="15" fillId="12" borderId="0" xfId="0" applyFont="1" applyFill="1" applyAlignment="1">
      <alignment vertical="center"/>
    </xf>
    <xf numFmtId="0" fontId="15" fillId="12" borderId="0" xfId="0" applyFont="1" applyFill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1" fontId="15" fillId="6" borderId="3" xfId="0" applyNumberFormat="1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/>
    </xf>
    <xf numFmtId="0" fontId="15" fillId="16" borderId="3" xfId="0" applyFont="1" applyFill="1" applyBorder="1" applyAlignment="1">
      <alignment horizontal="left" vertical="center"/>
    </xf>
    <xf numFmtId="166" fontId="15" fillId="6" borderId="3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left" vertical="center"/>
    </xf>
    <xf numFmtId="0" fontId="15" fillId="16" borderId="44" xfId="0" applyFont="1" applyFill="1" applyBorder="1" applyAlignment="1">
      <alignment horizontal="left" vertical="center"/>
    </xf>
    <xf numFmtId="0" fontId="16" fillId="6" borderId="44" xfId="0" applyFont="1" applyFill="1" applyBorder="1" applyAlignment="1">
      <alignment vertical="center"/>
    </xf>
    <xf numFmtId="1" fontId="16" fillId="6" borderId="3" xfId="0" applyNumberFormat="1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166" fontId="16" fillId="6" borderId="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1" fontId="15" fillId="6" borderId="0" xfId="0" applyNumberFormat="1" applyFont="1" applyFill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166" fontId="17" fillId="0" borderId="3" xfId="0" applyNumberFormat="1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searchandmarkets.com/reports/4536316/carbon-fiber-market-growth-trends-covid-1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hemanalyst.com/industry-report/carbon-fiber-market-67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4:T33"/>
  <sheetViews>
    <sheetView view="pageBreakPreview" zoomScale="60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C28" sqref="AC28"/>
    </sheetView>
  </sheetViews>
  <sheetFormatPr defaultColWidth="8.85546875" defaultRowHeight="15" x14ac:dyDescent="0.25"/>
  <cols>
    <col min="1" max="1" width="8.85546875" style="1"/>
    <col min="2" max="2" width="29" style="1" customWidth="1"/>
    <col min="3" max="3" width="17.28515625" style="1" customWidth="1"/>
    <col min="4" max="15" width="10.7109375" style="1" customWidth="1"/>
    <col min="16" max="16" width="11.28515625" style="1" customWidth="1"/>
    <col min="17" max="19" width="11.28515625" style="109" customWidth="1"/>
    <col min="20" max="20" width="8.85546875" style="95"/>
    <col min="21" max="16384" width="8.85546875" style="1"/>
  </cols>
  <sheetData>
    <row r="4" spans="1:20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20" ht="24" customHeight="1" thickTop="1" x14ac:dyDescent="0.25"/>
    <row r="6" spans="1:20" ht="30" customHeight="1" x14ac:dyDescent="0.25">
      <c r="A6" s="1">
        <v>1</v>
      </c>
      <c r="B6" s="2" t="s">
        <v>4</v>
      </c>
      <c r="C6" s="1" t="s">
        <v>5</v>
      </c>
      <c r="D6" s="7">
        <v>2236.1</v>
      </c>
      <c r="E6" s="7">
        <v>2284.6</v>
      </c>
      <c r="F6" s="7">
        <v>2358.1</v>
      </c>
      <c r="G6" s="7">
        <v>2491.6</v>
      </c>
      <c r="H6" s="7">
        <v>2674.8</v>
      </c>
      <c r="I6" s="7">
        <v>2127.9</v>
      </c>
      <c r="J6" s="7">
        <v>2822</v>
      </c>
      <c r="K6" s="7">
        <v>3218.1</v>
      </c>
      <c r="L6" s="7">
        <v>3439.5</v>
      </c>
      <c r="M6" s="7">
        <v>3653.5</v>
      </c>
      <c r="N6" s="7">
        <v>4041.5</v>
      </c>
      <c r="O6" s="7">
        <v>4261.7</v>
      </c>
      <c r="P6" s="7">
        <v>4541.3999999999996</v>
      </c>
      <c r="Q6" s="7">
        <f>P6*(1+$K$7)</f>
        <v>4865.2795566598406</v>
      </c>
      <c r="R6" s="7">
        <f t="shared" ref="R6:S6" si="4">Q6*(1+$K$7)</f>
        <v>5212.2572696640191</v>
      </c>
      <c r="S6" s="7">
        <f t="shared" si="4"/>
        <v>5583.9804329387389</v>
      </c>
    </row>
    <row r="7" spans="1:20" ht="30" customHeight="1" x14ac:dyDescent="0.25">
      <c r="A7" s="3" t="s">
        <v>6</v>
      </c>
      <c r="B7" s="2" t="s">
        <v>18</v>
      </c>
      <c r="C7" s="1" t="s">
        <v>7</v>
      </c>
      <c r="D7" s="191">
        <f>(J6/D6)^(1/6)-1</f>
        <v>3.9547403410938209E-2</v>
      </c>
      <c r="E7" s="191"/>
      <c r="F7" s="191"/>
      <c r="G7" s="191"/>
      <c r="H7" s="191"/>
      <c r="I7" s="191"/>
      <c r="J7" s="191"/>
      <c r="K7" s="194">
        <f>(P6/K6)^(1/5)-1</f>
        <v>7.1317117333826729E-2</v>
      </c>
      <c r="L7" s="194"/>
      <c r="M7" s="194"/>
      <c r="N7" s="194"/>
      <c r="O7" s="194"/>
      <c r="P7" s="194"/>
      <c r="Q7" s="108"/>
      <c r="R7" s="108"/>
      <c r="S7" s="108"/>
    </row>
    <row r="8" spans="1:20" ht="30" customHeight="1" x14ac:dyDescent="0.25">
      <c r="A8" s="1">
        <v>2</v>
      </c>
      <c r="B8" s="2" t="s">
        <v>4</v>
      </c>
      <c r="C8" s="1" t="s">
        <v>10</v>
      </c>
      <c r="D8" s="8">
        <f>150.5*B33</f>
        <v>68.266800000000003</v>
      </c>
      <c r="E8" s="8">
        <f>159.1*B33</f>
        <v>72.167760000000001</v>
      </c>
      <c r="F8" s="8">
        <f>165.2*B33</f>
        <v>74.934719999999999</v>
      </c>
      <c r="G8" s="8">
        <f>176.9*B33</f>
        <v>80.241839999999996</v>
      </c>
      <c r="H8" s="8">
        <f>192*B33</f>
        <v>87.091200000000001</v>
      </c>
      <c r="I8" s="8">
        <f>173.4*B33</f>
        <v>78.654240000000001</v>
      </c>
      <c r="J8" s="8">
        <f>175.6*B33</f>
        <v>79.652159999999995</v>
      </c>
      <c r="K8" s="8">
        <f>193.3*B33</f>
        <v>87.680880000000002</v>
      </c>
      <c r="L8" s="8">
        <f>206.8*B33</f>
        <v>93.804480000000012</v>
      </c>
      <c r="M8" s="8">
        <f>218.8*B33</f>
        <v>99.247680000000003</v>
      </c>
      <c r="N8" s="8">
        <f>243.5*B33</f>
        <v>110.4516</v>
      </c>
      <c r="O8" s="8">
        <f>255.9*B33</f>
        <v>116.07624</v>
      </c>
      <c r="P8" s="8">
        <f>273.8*B33</f>
        <v>124.19568000000001</v>
      </c>
      <c r="Q8" s="8">
        <f>P8*(1+$K$9)</f>
        <v>133.15172821217735</v>
      </c>
      <c r="R8" s="8">
        <f t="shared" ref="R8:S8" si="5">Q8*(1+$K$9)</f>
        <v>142.7536185307697</v>
      </c>
      <c r="S8" s="8">
        <f t="shared" si="5"/>
        <v>153.04792417831192</v>
      </c>
    </row>
    <row r="9" spans="1:20" ht="30" customHeight="1" x14ac:dyDescent="0.25">
      <c r="A9" s="3" t="s">
        <v>9</v>
      </c>
      <c r="B9" s="2" t="s">
        <v>17</v>
      </c>
      <c r="C9" s="1" t="s">
        <v>7</v>
      </c>
      <c r="D9" s="191">
        <f>(J8/D8)^(1/6)-1</f>
        <v>2.6040889739804784E-2</v>
      </c>
      <c r="E9" s="191"/>
      <c r="F9" s="191"/>
      <c r="G9" s="191"/>
      <c r="H9" s="191"/>
      <c r="I9" s="191"/>
      <c r="J9" s="191"/>
      <c r="K9" s="194">
        <f>(P8/K8)^(1/5)-1</f>
        <v>7.2112397244230575E-2</v>
      </c>
      <c r="L9" s="194"/>
      <c r="M9" s="194"/>
      <c r="N9" s="194"/>
      <c r="O9" s="194"/>
      <c r="P9" s="194"/>
      <c r="Q9" s="108"/>
      <c r="R9" s="108"/>
      <c r="S9" s="108"/>
    </row>
    <row r="10" spans="1:20" ht="30" customHeight="1" x14ac:dyDescent="0.25">
      <c r="B10" s="2"/>
    </row>
    <row r="11" spans="1:20" ht="30" customHeight="1" x14ac:dyDescent="0.25">
      <c r="A11" s="195" t="s">
        <v>11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07"/>
      <c r="R11" s="107"/>
      <c r="S11" s="107"/>
    </row>
    <row r="12" spans="1:20" ht="30" customHeight="1" x14ac:dyDescent="0.25"/>
    <row r="13" spans="1:20" ht="30" customHeight="1" x14ac:dyDescent="0.25">
      <c r="A13" s="1">
        <v>3</v>
      </c>
      <c r="B13" s="2" t="s">
        <v>4</v>
      </c>
      <c r="C13" s="1" t="s">
        <v>5</v>
      </c>
      <c r="D13" s="7">
        <v>1054.8</v>
      </c>
      <c r="E13" s="7">
        <v>1083.9000000000001</v>
      </c>
      <c r="F13" s="7">
        <v>1117</v>
      </c>
      <c r="G13" s="7">
        <v>1193.5999999999999</v>
      </c>
      <c r="H13" s="7">
        <v>1262</v>
      </c>
      <c r="I13" s="7">
        <v>690.8</v>
      </c>
      <c r="J13" s="7">
        <v>659.8</v>
      </c>
      <c r="K13" s="7">
        <v>701.9</v>
      </c>
      <c r="L13" s="7">
        <v>755.3</v>
      </c>
      <c r="M13" s="7">
        <v>833.9</v>
      </c>
      <c r="N13" s="7">
        <v>916</v>
      </c>
      <c r="O13" s="7">
        <v>998.8</v>
      </c>
      <c r="P13" s="1">
        <v>1061</v>
      </c>
      <c r="Q13" s="109">
        <f>P13*(1+$K$14)</f>
        <v>1152.4004314345916</v>
      </c>
      <c r="R13" s="189">
        <f t="shared" ref="R13:S13" si="6">Q13*(1+$K$14)</f>
        <v>1251.6746035538481</v>
      </c>
      <c r="S13" s="189">
        <f t="shared" si="6"/>
        <v>1359.5008041010142</v>
      </c>
    </row>
    <row r="14" spans="1:20" ht="30" customHeight="1" x14ac:dyDescent="0.25">
      <c r="A14" s="3" t="s">
        <v>12</v>
      </c>
      <c r="B14" s="2" t="s">
        <v>19</v>
      </c>
      <c r="C14" s="1" t="s">
        <v>7</v>
      </c>
      <c r="D14" s="191">
        <f>(J13/D13)^(1/6)-1</f>
        <v>-7.5215877030560874E-2</v>
      </c>
      <c r="E14" s="191"/>
      <c r="F14" s="191"/>
      <c r="G14" s="191"/>
      <c r="H14" s="191"/>
      <c r="I14" s="191"/>
      <c r="J14" s="191"/>
      <c r="K14" s="194">
        <f>(P13/K13)^(1/5)-1</f>
        <v>8.614555271874802E-2</v>
      </c>
      <c r="L14" s="194"/>
      <c r="M14" s="194"/>
      <c r="N14" s="194"/>
      <c r="O14" s="194"/>
      <c r="P14" s="194"/>
      <c r="Q14" s="108"/>
      <c r="R14" s="108"/>
      <c r="S14" s="108"/>
    </row>
    <row r="15" spans="1:20" s="9" customFormat="1" ht="30" customHeight="1" x14ac:dyDescent="0.25">
      <c r="A15" s="9">
        <v>3</v>
      </c>
      <c r="B15" s="10" t="s">
        <v>4</v>
      </c>
      <c r="C15" s="9" t="s">
        <v>10</v>
      </c>
      <c r="D15" s="12">
        <f>39.4*B33</f>
        <v>17.871839999999999</v>
      </c>
      <c r="E15" s="12">
        <f>41.5*B33</f>
        <v>18.824400000000001</v>
      </c>
      <c r="F15" s="12">
        <f>42.9*B33</f>
        <v>19.459440000000001</v>
      </c>
      <c r="G15" s="12">
        <f>45.9*B33</f>
        <v>20.820239999999998</v>
      </c>
      <c r="H15" s="12">
        <f>48.7*B33</f>
        <v>22.090320000000002</v>
      </c>
      <c r="I15" s="12">
        <f>26.4*B33</f>
        <v>11.97504</v>
      </c>
      <c r="J15" s="12">
        <f>17.7*B33</f>
        <v>8.0287199999999999</v>
      </c>
      <c r="K15" s="12">
        <f>18.2*B33</f>
        <v>8.2555199999999989</v>
      </c>
      <c r="L15" s="12">
        <f>19.7*B33</f>
        <v>8.9359199999999994</v>
      </c>
      <c r="M15" s="12">
        <f>21.8*B33</f>
        <v>9.8884800000000013</v>
      </c>
      <c r="N15" s="12">
        <f>24.1*B33</f>
        <v>10.931760000000001</v>
      </c>
      <c r="O15" s="12">
        <f>26.4*B33</f>
        <v>11.97504</v>
      </c>
      <c r="P15" s="12">
        <f>28.1*B33</f>
        <v>12.746160000000001</v>
      </c>
      <c r="Q15" s="12">
        <f>P15*(1+$K$16)</f>
        <v>13.902930513467492</v>
      </c>
      <c r="R15" s="12">
        <f>Q15*(1+$K$16)</f>
        <v>15.164683078064723</v>
      </c>
      <c r="S15" s="12">
        <f>R15*(1+$K$16)</f>
        <v>16.540945280232645</v>
      </c>
      <c r="T15" s="94"/>
    </row>
    <row r="16" spans="1:20" ht="30" customHeight="1" x14ac:dyDescent="0.25">
      <c r="A16" s="3" t="s">
        <v>12</v>
      </c>
      <c r="B16" s="2" t="s">
        <v>16</v>
      </c>
      <c r="C16" s="1" t="s">
        <v>7</v>
      </c>
      <c r="D16" s="191">
        <f>(J15/D15)^(1/6)-1</f>
        <v>-0.12485602454867062</v>
      </c>
      <c r="E16" s="191"/>
      <c r="F16" s="191"/>
      <c r="G16" s="191"/>
      <c r="H16" s="191"/>
      <c r="I16" s="191"/>
      <c r="J16" s="191"/>
      <c r="K16" s="194">
        <f>(P15/K15)^(1/5)-1</f>
        <v>9.075443219506818E-2</v>
      </c>
      <c r="L16" s="194"/>
      <c r="M16" s="194"/>
      <c r="N16" s="194"/>
      <c r="O16" s="194"/>
      <c r="P16" s="194"/>
      <c r="Q16" s="108"/>
      <c r="R16" s="108"/>
      <c r="S16" s="108"/>
    </row>
    <row r="17" spans="1:20" ht="30" customHeight="1" x14ac:dyDescent="0.25"/>
    <row r="18" spans="1:20" ht="30.6" customHeight="1" x14ac:dyDescent="0.25">
      <c r="A18" s="195" t="s">
        <v>13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07"/>
      <c r="R18" s="107"/>
      <c r="S18" s="107"/>
    </row>
    <row r="20" spans="1:20" ht="30.6" customHeight="1" x14ac:dyDescent="0.25">
      <c r="A20" s="1">
        <v>4</v>
      </c>
      <c r="B20" s="2" t="s">
        <v>4</v>
      </c>
      <c r="C20" s="1" t="s">
        <v>5</v>
      </c>
      <c r="D20" s="7">
        <v>974.1</v>
      </c>
      <c r="E20" s="7">
        <v>991.99999999999989</v>
      </c>
      <c r="F20" s="7">
        <v>1027.7</v>
      </c>
      <c r="G20" s="7">
        <v>1078.2</v>
      </c>
      <c r="H20" s="7">
        <v>1179.2</v>
      </c>
      <c r="I20" s="7">
        <v>1216.5</v>
      </c>
      <c r="J20" s="7">
        <v>1817.6</v>
      </c>
      <c r="K20" s="7">
        <v>2119.1999999999998</v>
      </c>
      <c r="L20" s="7">
        <v>2251.6999999999998</v>
      </c>
      <c r="M20" s="7">
        <v>2350.9</v>
      </c>
      <c r="N20" s="7">
        <v>2621.9</v>
      </c>
      <c r="O20" s="7">
        <v>2723.3</v>
      </c>
      <c r="P20" s="7">
        <v>2904.7</v>
      </c>
      <c r="Q20" s="7">
        <f>P20*(1+$K$21)</f>
        <v>3093.763793721957</v>
      </c>
      <c r="R20" s="7">
        <f t="shared" ref="R20:S20" si="7">Q20*(1+$K$21)</f>
        <v>3295.1335460959399</v>
      </c>
      <c r="S20" s="7">
        <f t="shared" si="7"/>
        <v>3509.61023871321</v>
      </c>
    </row>
    <row r="21" spans="1:20" ht="33.6" customHeight="1" x14ac:dyDescent="0.25">
      <c r="A21" s="3" t="s">
        <v>14</v>
      </c>
      <c r="B21" s="2" t="s">
        <v>18</v>
      </c>
      <c r="C21" s="1" t="s">
        <v>7</v>
      </c>
      <c r="D21" s="191">
        <f>(J20/D20)^(1/6)-1</f>
        <v>0.10955575015252039</v>
      </c>
      <c r="E21" s="191"/>
      <c r="F21" s="191"/>
      <c r="G21" s="191"/>
      <c r="H21" s="191"/>
      <c r="I21" s="191"/>
      <c r="J21" s="191"/>
      <c r="K21" s="194">
        <f>(P20/K20)^(1/5)-1</f>
        <v>6.508892268459987E-2</v>
      </c>
      <c r="L21" s="194"/>
      <c r="M21" s="194"/>
      <c r="N21" s="194"/>
      <c r="O21" s="194"/>
      <c r="P21" s="194"/>
      <c r="Q21" s="108"/>
      <c r="R21" s="108"/>
      <c r="S21" s="108"/>
    </row>
    <row r="22" spans="1:20" s="9" customFormat="1" ht="35.450000000000003" customHeight="1" x14ac:dyDescent="0.25">
      <c r="A22" s="9">
        <v>3</v>
      </c>
      <c r="B22" s="10" t="s">
        <v>4</v>
      </c>
      <c r="C22" s="9" t="s">
        <v>10</v>
      </c>
      <c r="D22" s="12">
        <f>94.9*B33</f>
        <v>43.046640000000004</v>
      </c>
      <c r="E22" s="12">
        <f>100.4*B33</f>
        <v>45.541440000000001</v>
      </c>
      <c r="F22" s="12">
        <f>104.5*B33</f>
        <v>47.401200000000003</v>
      </c>
      <c r="G22" s="12">
        <f>112*B33</f>
        <v>50.803200000000004</v>
      </c>
      <c r="H22" s="12">
        <f>122.9*B33</f>
        <v>55.747440000000005</v>
      </c>
      <c r="I22" s="12">
        <f>127.9*B33</f>
        <v>58.015440000000005</v>
      </c>
      <c r="J22" s="12">
        <f>136.5*B33</f>
        <v>61.916400000000003</v>
      </c>
      <c r="K22" s="12">
        <f>151.5*B33</f>
        <v>68.720399999999998</v>
      </c>
      <c r="L22" s="12">
        <f>161.3*B33</f>
        <v>73.165680000000009</v>
      </c>
      <c r="M22" s="12">
        <f>169*B33</f>
        <v>76.6584</v>
      </c>
      <c r="N22" s="12">
        <f>189.2*B33</f>
        <v>85.821119999999993</v>
      </c>
      <c r="O22" s="12">
        <f>197.1*B33</f>
        <v>89.404560000000004</v>
      </c>
      <c r="P22" s="12">
        <f>210.9*B33</f>
        <v>95.664240000000007</v>
      </c>
      <c r="Q22" s="12">
        <f>P22*(1+$K$23)</f>
        <v>102.20741750095877</v>
      </c>
      <c r="R22" s="12">
        <f t="shared" ref="R22:S22" si="8">Q22*(1+$K$23)</f>
        <v>109.19813079804211</v>
      </c>
      <c r="S22" s="12">
        <f t="shared" si="8"/>
        <v>116.66699013967803</v>
      </c>
      <c r="T22" s="94"/>
    </row>
    <row r="23" spans="1:20" ht="34.9" customHeight="1" x14ac:dyDescent="0.25">
      <c r="A23" s="3" t="s">
        <v>12</v>
      </c>
      <c r="B23" s="2" t="s">
        <v>16</v>
      </c>
      <c r="C23" s="1" t="s">
        <v>7</v>
      </c>
      <c r="D23" s="191">
        <f>(J22/D22)^(1/6)-1</f>
        <v>6.2456292856067908E-2</v>
      </c>
      <c r="E23" s="191"/>
      <c r="F23" s="191"/>
      <c r="G23" s="191"/>
      <c r="H23" s="191"/>
      <c r="I23" s="191"/>
      <c r="J23" s="191"/>
      <c r="K23" s="194">
        <f>(P22/K22)^(1/5)-1</f>
        <v>6.839731859008924E-2</v>
      </c>
      <c r="L23" s="194"/>
      <c r="M23" s="194"/>
      <c r="N23" s="194"/>
      <c r="O23" s="194"/>
      <c r="P23" s="194"/>
      <c r="Q23" s="108"/>
      <c r="R23" s="108"/>
      <c r="S23" s="108"/>
    </row>
    <row r="25" spans="1:20" ht="25.15" customHeight="1" x14ac:dyDescent="0.25">
      <c r="A25" s="195" t="s">
        <v>15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07"/>
      <c r="R25" s="107"/>
      <c r="S25" s="107"/>
    </row>
    <row r="27" spans="1:20" ht="46.9" customHeight="1" x14ac:dyDescent="0.25">
      <c r="A27" s="1">
        <v>4</v>
      </c>
      <c r="B27" s="2" t="s">
        <v>4</v>
      </c>
      <c r="C27" s="1" t="s">
        <v>5</v>
      </c>
      <c r="D27" s="1">
        <v>207.1</v>
      </c>
      <c r="E27" s="1">
        <v>208.7</v>
      </c>
      <c r="F27" s="1">
        <v>213.4</v>
      </c>
      <c r="G27" s="1">
        <v>219.7</v>
      </c>
      <c r="H27" s="1">
        <v>233.6</v>
      </c>
      <c r="I27" s="1">
        <v>220.6</v>
      </c>
      <c r="J27" s="1">
        <v>344.6</v>
      </c>
      <c r="K27" s="1">
        <v>397.1</v>
      </c>
      <c r="L27" s="1">
        <v>432.5</v>
      </c>
      <c r="M27" s="1">
        <v>468.6</v>
      </c>
      <c r="N27" s="1">
        <v>503.6</v>
      </c>
      <c r="O27" s="1">
        <v>539.70000000000005</v>
      </c>
      <c r="P27" s="96">
        <v>575.6</v>
      </c>
      <c r="Q27" s="109">
        <f>P27*(1+$K$28)</f>
        <v>619.96184907038491</v>
      </c>
      <c r="R27" s="189">
        <f t="shared" ref="R27:S27" si="9">Q27*(1+$K$28)</f>
        <v>667.74269336826046</v>
      </c>
      <c r="S27" s="189">
        <f t="shared" si="9"/>
        <v>719.20603697676484</v>
      </c>
    </row>
    <row r="28" spans="1:20" ht="31.9" customHeight="1" x14ac:dyDescent="0.25">
      <c r="A28" s="3" t="s">
        <v>14</v>
      </c>
      <c r="B28" s="2" t="s">
        <v>18</v>
      </c>
      <c r="C28" s="1" t="s">
        <v>7</v>
      </c>
      <c r="D28" s="191">
        <f>(J27/D27)^(1/6)-1</f>
        <v>8.856874920725577E-2</v>
      </c>
      <c r="E28" s="191"/>
      <c r="F28" s="191"/>
      <c r="G28" s="191"/>
      <c r="H28" s="191"/>
      <c r="I28" s="191"/>
      <c r="J28" s="191"/>
      <c r="K28" s="194">
        <f>(P27/K27)^(1/5)-1</f>
        <v>7.7070620344657614E-2</v>
      </c>
      <c r="L28" s="194"/>
      <c r="M28" s="194"/>
      <c r="N28" s="194"/>
      <c r="O28" s="194"/>
      <c r="P28" s="194"/>
      <c r="Q28" s="108"/>
      <c r="R28" s="108"/>
      <c r="S28" s="108"/>
    </row>
    <row r="29" spans="1:20" s="9" customFormat="1" ht="30" customHeight="1" x14ac:dyDescent="0.25">
      <c r="A29" s="9">
        <v>3</v>
      </c>
      <c r="B29" s="10" t="s">
        <v>4</v>
      </c>
      <c r="C29" s="9" t="s">
        <v>10</v>
      </c>
      <c r="D29" s="12">
        <f>16.3*B33</f>
        <v>7.3936800000000007</v>
      </c>
      <c r="E29" s="12">
        <f>17.3*B33</f>
        <v>7.8472800000000005</v>
      </c>
      <c r="F29" s="12">
        <f>17.8*B33</f>
        <v>8.0740800000000004</v>
      </c>
      <c r="G29" s="12">
        <f>19*B33</f>
        <v>8.6183999999999994</v>
      </c>
      <c r="H29" s="12">
        <f>20.4*B33</f>
        <v>9.2534399999999994</v>
      </c>
      <c r="I29" s="12">
        <f>19.2*B33</f>
        <v>8.7091200000000004</v>
      </c>
      <c r="J29" s="12">
        <f>21.4*B33</f>
        <v>9.7070399999999992</v>
      </c>
      <c r="K29" s="12">
        <f>23.6*B33</f>
        <v>10.704960000000002</v>
      </c>
      <c r="L29" s="12">
        <f>25.8*B33</f>
        <v>11.70288</v>
      </c>
      <c r="M29" s="12">
        <f>28*B33</f>
        <v>12.700800000000001</v>
      </c>
      <c r="N29" s="12">
        <f>30.2*B33</f>
        <v>13.69872</v>
      </c>
      <c r="O29" s="12">
        <f>32.5*B33</f>
        <v>14.742000000000001</v>
      </c>
      <c r="P29" s="12">
        <f>34.8*B33</f>
        <v>15.785279999999998</v>
      </c>
      <c r="Q29" s="12">
        <f>P29*(1+$K$30)</f>
        <v>17.060263631890095</v>
      </c>
      <c r="R29" s="12">
        <f t="shared" ref="R29:S29" si="10">Q29*(1+$K$30)</f>
        <v>18.438228222089936</v>
      </c>
      <c r="S29" s="12">
        <f t="shared" si="10"/>
        <v>19.927491585439757</v>
      </c>
      <c r="T29" s="94"/>
    </row>
    <row r="30" spans="1:20" ht="32.450000000000003" customHeight="1" x14ac:dyDescent="0.25">
      <c r="A30" s="3" t="s">
        <v>12</v>
      </c>
      <c r="B30" s="2" t="s">
        <v>16</v>
      </c>
      <c r="C30" s="1" t="s">
        <v>7</v>
      </c>
      <c r="D30" s="191">
        <f>(J29/D29)^(1/6)-1</f>
        <v>4.6415975840423007E-2</v>
      </c>
      <c r="E30" s="191"/>
      <c r="F30" s="191"/>
      <c r="G30" s="191"/>
      <c r="H30" s="191"/>
      <c r="I30" s="191"/>
      <c r="J30" s="191"/>
      <c r="K30" s="194">
        <f>(P29/K29)^(1/5)-1</f>
        <v>8.077041597552248E-2</v>
      </c>
      <c r="L30" s="194"/>
      <c r="M30" s="194"/>
      <c r="N30" s="194"/>
      <c r="O30" s="194"/>
      <c r="P30" s="194"/>
      <c r="Q30" s="108"/>
      <c r="R30" s="108"/>
      <c r="S30" s="108"/>
    </row>
    <row r="32" spans="1:20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9" ht="30" x14ac:dyDescent="0.25">
      <c r="A33" s="1" t="s">
        <v>3</v>
      </c>
      <c r="B33" s="1">
        <v>0.4536</v>
      </c>
      <c r="K33" s="8"/>
      <c r="L33" s="8"/>
      <c r="M33" s="8"/>
      <c r="N33" s="8"/>
      <c r="O33" s="8"/>
      <c r="P33" s="8"/>
      <c r="Q33" s="8"/>
      <c r="R33" s="8"/>
      <c r="S33" s="8"/>
    </row>
  </sheetData>
  <mergeCells count="19">
    <mergeCell ref="A11:P11"/>
    <mergeCell ref="K14:P14"/>
    <mergeCell ref="D14:J14"/>
    <mergeCell ref="K16:P16"/>
    <mergeCell ref="D16:J16"/>
    <mergeCell ref="K21:P21"/>
    <mergeCell ref="D21:J21"/>
    <mergeCell ref="K23:P23"/>
    <mergeCell ref="D23:J23"/>
    <mergeCell ref="D9:J9"/>
    <mergeCell ref="K7:P7"/>
    <mergeCell ref="D7:J7"/>
    <mergeCell ref="K9:P9"/>
    <mergeCell ref="A25:P25"/>
    <mergeCell ref="K28:P28"/>
    <mergeCell ref="D28:J28"/>
    <mergeCell ref="K30:P30"/>
    <mergeCell ref="D30:J30"/>
    <mergeCell ref="A18:P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9972-C7C0-4445-81C4-B24C21F06EAA}">
  <sheetPr>
    <tabColor theme="9" tint="-0.249977111117893"/>
  </sheetPr>
  <dimension ref="A2:O13"/>
  <sheetViews>
    <sheetView zoomScale="85" zoomScaleNormal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L2" sqref="L2:L3"/>
    </sheetView>
  </sheetViews>
  <sheetFormatPr defaultColWidth="8.85546875" defaultRowHeight="15" x14ac:dyDescent="0.25"/>
  <cols>
    <col min="1" max="1" width="8.85546875" style="26"/>
    <col min="2" max="2" width="19.42578125" style="26" customWidth="1"/>
    <col min="3" max="3" width="16.28515625" style="26" customWidth="1"/>
    <col min="4" max="4" width="17.5703125" style="26" customWidth="1"/>
    <col min="5" max="5" width="26.28515625" style="26" customWidth="1"/>
    <col min="6" max="6" width="15.7109375" style="26" customWidth="1"/>
    <col min="7" max="7" width="17.5703125" style="26" customWidth="1"/>
    <col min="8" max="8" width="29.7109375" style="24" customWidth="1"/>
    <col min="9" max="9" width="28.28515625" style="24" customWidth="1"/>
    <col min="10" max="10" width="26.42578125" style="24" customWidth="1"/>
    <col min="11" max="11" width="16.5703125" style="24" customWidth="1"/>
    <col min="12" max="12" width="25.28515625" style="26" customWidth="1"/>
    <col min="13" max="13" width="29.28515625" style="26" customWidth="1"/>
    <col min="14" max="16384" width="8.85546875" style="26"/>
  </cols>
  <sheetData>
    <row r="2" spans="1:15" ht="30.6" customHeight="1" x14ac:dyDescent="0.25">
      <c r="A2" s="27"/>
      <c r="B2" s="27"/>
      <c r="C2" s="211" t="s">
        <v>108</v>
      </c>
      <c r="D2" s="211"/>
      <c r="E2" s="211"/>
      <c r="F2" s="211" t="s">
        <v>111</v>
      </c>
      <c r="G2" s="211"/>
      <c r="H2" s="211"/>
      <c r="I2" s="211"/>
      <c r="J2" s="211"/>
      <c r="K2" s="210" t="s">
        <v>247</v>
      </c>
      <c r="L2" s="210" t="s">
        <v>115</v>
      </c>
      <c r="M2" s="210" t="s">
        <v>116</v>
      </c>
    </row>
    <row r="3" spans="1:15" ht="39" customHeight="1" x14ac:dyDescent="0.25">
      <c r="A3" s="27" t="s">
        <v>0</v>
      </c>
      <c r="B3" s="27" t="s">
        <v>98</v>
      </c>
      <c r="C3" s="27" t="s">
        <v>68</v>
      </c>
      <c r="D3" s="27" t="s">
        <v>69</v>
      </c>
      <c r="E3" s="27" t="s">
        <v>15</v>
      </c>
      <c r="F3" s="27" t="s">
        <v>109</v>
      </c>
      <c r="G3" s="27" t="s">
        <v>110</v>
      </c>
      <c r="H3" s="33" t="s">
        <v>112</v>
      </c>
      <c r="I3" s="33" t="s">
        <v>113</v>
      </c>
      <c r="J3" s="33" t="s">
        <v>114</v>
      </c>
      <c r="K3" s="210"/>
      <c r="L3" s="210"/>
      <c r="M3" s="210"/>
    </row>
    <row r="4" spans="1:15" ht="19.899999999999999" customHeight="1" x14ac:dyDescent="0.25"/>
    <row r="5" spans="1:15" ht="19.899999999999999" customHeight="1" x14ac:dyDescent="0.25">
      <c r="A5" s="28">
        <v>1</v>
      </c>
      <c r="B5" s="29" t="s">
        <v>99</v>
      </c>
      <c r="C5" s="28" t="s">
        <v>106</v>
      </c>
      <c r="D5" s="28" t="s">
        <v>106</v>
      </c>
      <c r="E5" s="28" t="s">
        <v>106</v>
      </c>
      <c r="F5" s="28" t="s">
        <v>106</v>
      </c>
      <c r="G5" s="28" t="s">
        <v>106</v>
      </c>
      <c r="H5" s="34" t="s">
        <v>106</v>
      </c>
      <c r="I5" s="34" t="s">
        <v>106</v>
      </c>
      <c r="J5" s="34" t="s">
        <v>106</v>
      </c>
      <c r="K5" s="183">
        <f>'Мировой рынок УВ по мощностям'!E38/'Мировой рынок УВ по мощностям'!E65</f>
        <v>0.33314121037463978</v>
      </c>
      <c r="L5" s="28" t="s">
        <v>106</v>
      </c>
      <c r="M5" s="28" t="s">
        <v>106</v>
      </c>
    </row>
    <row r="6" spans="1:15" ht="91.15" customHeight="1" x14ac:dyDescent="0.25">
      <c r="A6" s="30">
        <f t="shared" ref="A6:A11" si="0">A5+1</f>
        <v>2</v>
      </c>
      <c r="B6" s="31" t="s">
        <v>100</v>
      </c>
      <c r="C6" s="28" t="s">
        <v>106</v>
      </c>
      <c r="D6" s="28" t="s">
        <v>106</v>
      </c>
      <c r="E6" s="28" t="s">
        <v>106</v>
      </c>
      <c r="F6" s="28" t="s">
        <v>106</v>
      </c>
      <c r="G6" s="28" t="s">
        <v>106</v>
      </c>
      <c r="H6" s="34" t="s">
        <v>106</v>
      </c>
      <c r="I6" s="34" t="s">
        <v>106</v>
      </c>
      <c r="J6" s="34" t="s">
        <v>106</v>
      </c>
      <c r="K6" s="184">
        <f>'Мировой рынок УВ по мощностям'!E44/'Мировой рынок УВ по мощностям'!E65</f>
        <v>9.2219020172910685E-2</v>
      </c>
      <c r="L6" s="28" t="s">
        <v>106</v>
      </c>
      <c r="M6" s="28" t="s">
        <v>106</v>
      </c>
    </row>
    <row r="7" spans="1:15" ht="19.899999999999999" customHeight="1" x14ac:dyDescent="0.25">
      <c r="A7" s="30">
        <f t="shared" si="0"/>
        <v>3</v>
      </c>
      <c r="B7" s="31" t="s">
        <v>101</v>
      </c>
      <c r="C7" s="28" t="s">
        <v>106</v>
      </c>
      <c r="D7" s="28" t="s">
        <v>106</v>
      </c>
      <c r="E7" s="28" t="s">
        <v>106</v>
      </c>
      <c r="F7" s="28" t="s">
        <v>106</v>
      </c>
      <c r="G7" s="28" t="s">
        <v>106</v>
      </c>
      <c r="H7" s="34" t="s">
        <v>106</v>
      </c>
      <c r="I7" s="34" t="s">
        <v>106</v>
      </c>
      <c r="J7" s="34" t="s">
        <v>106</v>
      </c>
      <c r="K7" s="184">
        <f>'Мировой рынок УВ по мощностям'!E46/'Мировой рынок УВ по мощностям'!E65</f>
        <v>7.4927953890489923E-2</v>
      </c>
      <c r="L7" s="28" t="s">
        <v>106</v>
      </c>
      <c r="M7" s="28" t="s">
        <v>106</v>
      </c>
    </row>
    <row r="8" spans="1:15" ht="19.899999999999999" customHeight="1" x14ac:dyDescent="0.25">
      <c r="A8" s="30">
        <f t="shared" si="0"/>
        <v>4</v>
      </c>
      <c r="B8" s="31" t="s">
        <v>102</v>
      </c>
      <c r="C8" s="28" t="s">
        <v>106</v>
      </c>
      <c r="D8" s="28" t="s">
        <v>106</v>
      </c>
      <c r="E8" s="28" t="s">
        <v>106</v>
      </c>
      <c r="F8" s="28" t="s">
        <v>106</v>
      </c>
      <c r="G8" s="28" t="s">
        <v>106</v>
      </c>
      <c r="H8" s="34" t="s">
        <v>106</v>
      </c>
      <c r="I8" s="34" t="s">
        <v>106</v>
      </c>
      <c r="J8" s="34" t="s">
        <v>107</v>
      </c>
      <c r="K8" s="184">
        <f>'Мировой рынок УВ по мощностям'!E50/'Мировой рынок УВ по мощностям'!E65</f>
        <v>2.536023054755044E-2</v>
      </c>
      <c r="L8" s="28" t="s">
        <v>106</v>
      </c>
      <c r="M8" s="28" t="s">
        <v>106</v>
      </c>
    </row>
    <row r="9" spans="1:15" ht="19.899999999999999" customHeight="1" x14ac:dyDescent="0.25">
      <c r="A9" s="30">
        <f t="shared" si="0"/>
        <v>5</v>
      </c>
      <c r="B9" s="31" t="s">
        <v>103</v>
      </c>
      <c r="C9" s="28" t="s">
        <v>106</v>
      </c>
      <c r="D9" s="28" t="s">
        <v>106</v>
      </c>
      <c r="E9" s="28" t="s">
        <v>106</v>
      </c>
      <c r="F9" s="28" t="s">
        <v>106</v>
      </c>
      <c r="G9" s="28" t="s">
        <v>106</v>
      </c>
      <c r="H9" s="34" t="s">
        <v>106</v>
      </c>
      <c r="I9" s="34" t="s">
        <v>106</v>
      </c>
      <c r="J9" s="34" t="s">
        <v>106</v>
      </c>
      <c r="K9" s="184">
        <f>'Мировой рынок УВ по мощностям'!E42/'Мировой рынок УВ по мощностям'!E65</f>
        <v>9.2219020172910685E-2</v>
      </c>
      <c r="L9" s="28" t="s">
        <v>106</v>
      </c>
      <c r="M9" s="28" t="s">
        <v>106</v>
      </c>
    </row>
    <row r="10" spans="1:15" ht="19.899999999999999" customHeight="1" x14ac:dyDescent="0.25">
      <c r="A10" s="30">
        <f t="shared" si="0"/>
        <v>6</v>
      </c>
      <c r="B10" s="31" t="s">
        <v>104</v>
      </c>
      <c r="C10" s="28" t="s">
        <v>106</v>
      </c>
      <c r="D10" s="28" t="s">
        <v>106</v>
      </c>
      <c r="E10" s="28" t="s">
        <v>106</v>
      </c>
      <c r="F10" s="28" t="s">
        <v>106</v>
      </c>
      <c r="G10" s="28" t="s">
        <v>106</v>
      </c>
      <c r="H10" s="34" t="s">
        <v>106</v>
      </c>
      <c r="I10" s="34" t="s">
        <v>106</v>
      </c>
      <c r="J10" s="34" t="s">
        <v>107</v>
      </c>
      <c r="K10" s="184">
        <f>'Мировой рынок УВ по мощностям'!E40/'Мировой рынок УВ по мощностям'!E65</f>
        <v>7.4927953890489923E-2</v>
      </c>
      <c r="L10" s="28" t="s">
        <v>106</v>
      </c>
      <c r="M10" s="28" t="s">
        <v>106</v>
      </c>
      <c r="O10" s="26" t="s">
        <v>106</v>
      </c>
    </row>
    <row r="11" spans="1:15" ht="19.899999999999999" customHeight="1" x14ac:dyDescent="0.25">
      <c r="A11" s="30">
        <f t="shared" si="0"/>
        <v>7</v>
      </c>
      <c r="B11" s="31" t="s">
        <v>105</v>
      </c>
      <c r="C11" s="28" t="s">
        <v>106</v>
      </c>
      <c r="D11" s="28" t="s">
        <v>106</v>
      </c>
      <c r="E11" s="28" t="s">
        <v>106</v>
      </c>
      <c r="F11" s="28" t="s">
        <v>106</v>
      </c>
      <c r="G11" s="28" t="s">
        <v>106</v>
      </c>
      <c r="H11" s="34" t="s">
        <v>106</v>
      </c>
      <c r="I11" s="34" t="s">
        <v>106</v>
      </c>
      <c r="J11" s="34" t="s">
        <v>107</v>
      </c>
      <c r="K11" s="184">
        <f>'Мировой рынок УВ по мощностям'!E48/'Мировой рынок УВ по мощностям'!E65</f>
        <v>5.1873198847262256E-2</v>
      </c>
      <c r="L11" s="28" t="s">
        <v>106</v>
      </c>
      <c r="M11" s="28" t="s">
        <v>106</v>
      </c>
      <c r="O11" s="26" t="s">
        <v>107</v>
      </c>
    </row>
    <row r="13" spans="1:15" x14ac:dyDescent="0.25">
      <c r="A13" s="209" t="s">
        <v>248</v>
      </c>
      <c r="B13" s="209"/>
      <c r="C13" s="209"/>
      <c r="D13" s="209"/>
    </row>
  </sheetData>
  <mergeCells count="6">
    <mergeCell ref="A13:D13"/>
    <mergeCell ref="M2:M3"/>
    <mergeCell ref="C2:E2"/>
    <mergeCell ref="F2:J2"/>
    <mergeCell ref="K2:K3"/>
    <mergeCell ref="L2:L3"/>
  </mergeCells>
  <dataValidations count="2">
    <dataValidation type="list" allowBlank="1" showInputMessage="1" showErrorMessage="1" sqref="C5:C11" xr:uid="{37C62575-6240-4EA4-8DBC-8AB72ABA659B}">
      <formula1>O10:O11</formula1>
    </dataValidation>
    <dataValidation type="list" allowBlank="1" showInputMessage="1" showErrorMessage="1" sqref="D5:J11 L5:M11" xr:uid="{5E0059BF-E01D-463C-8575-36287C6A6D61}">
      <formula1>$O$10:$O$11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2189-0F62-40E9-B2DC-ACF9DE737677}">
  <dimension ref="A1:M53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N1" sqref="N1:N1048576"/>
    </sheetView>
  </sheetViews>
  <sheetFormatPr defaultColWidth="8.85546875" defaultRowHeight="14.25" x14ac:dyDescent="0.25"/>
  <cols>
    <col min="1" max="1" width="8.85546875" style="73"/>
    <col min="2" max="2" width="38.28515625" style="49" customWidth="1"/>
    <col min="3" max="3" width="21" style="49" customWidth="1"/>
    <col min="4" max="4" width="0" style="49" hidden="1" customWidth="1"/>
    <col min="5" max="5" width="15.5703125" style="49" hidden="1" customWidth="1"/>
    <col min="6" max="6" width="18.85546875" style="49" hidden="1" customWidth="1"/>
    <col min="7" max="7" width="15" style="49" hidden="1" customWidth="1"/>
    <col min="8" max="8" width="14.140625" style="49" hidden="1" customWidth="1"/>
    <col min="9" max="9" width="12.42578125" style="49" hidden="1" customWidth="1"/>
    <col min="10" max="12" width="16" style="49" customWidth="1"/>
    <col min="13" max="16384" width="8.85546875" style="49"/>
  </cols>
  <sheetData>
    <row r="1" spans="1:12" x14ac:dyDescent="0.25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93"/>
      <c r="L1" s="93"/>
    </row>
    <row r="3" spans="1:12" ht="24.6" customHeight="1" x14ac:dyDescent="0.25">
      <c r="A3" s="32" t="s">
        <v>0</v>
      </c>
      <c r="B3" s="32" t="s">
        <v>98</v>
      </c>
      <c r="C3" s="32" t="s">
        <v>2</v>
      </c>
      <c r="D3" s="50">
        <v>2014</v>
      </c>
      <c r="E3" s="50">
        <v>2015</v>
      </c>
      <c r="F3" s="50">
        <v>2016</v>
      </c>
      <c r="G3" s="51">
        <v>2017</v>
      </c>
      <c r="H3" s="51">
        <v>2018</v>
      </c>
      <c r="I3" s="51">
        <v>2019</v>
      </c>
      <c r="J3" s="51">
        <v>2020</v>
      </c>
      <c r="K3" s="51">
        <v>2021</v>
      </c>
      <c r="L3" s="51">
        <v>2022</v>
      </c>
    </row>
    <row r="5" spans="1:12" ht="25.15" customHeight="1" x14ac:dyDescent="0.25">
      <c r="A5" s="52">
        <v>1</v>
      </c>
      <c r="B5" s="53" t="s">
        <v>143</v>
      </c>
      <c r="C5" s="54"/>
      <c r="D5" s="55"/>
      <c r="E5" s="55"/>
      <c r="F5" s="55"/>
      <c r="G5" s="55"/>
      <c r="H5" s="55"/>
      <c r="I5" s="54"/>
      <c r="J5" s="54"/>
      <c r="K5" s="54"/>
      <c r="L5" s="54"/>
    </row>
    <row r="6" spans="1:12" ht="25.15" customHeight="1" x14ac:dyDescent="0.25">
      <c r="A6" s="56"/>
      <c r="B6" s="57" t="s">
        <v>144</v>
      </c>
      <c r="C6" s="52"/>
      <c r="D6" s="58">
        <v>110.2</v>
      </c>
      <c r="E6" s="58">
        <v>117</v>
      </c>
      <c r="F6" s="58">
        <v>108.78</v>
      </c>
      <c r="G6" s="58">
        <v>112.16</v>
      </c>
      <c r="H6" s="58">
        <v>111</v>
      </c>
      <c r="I6" s="92">
        <v>109.14</v>
      </c>
      <c r="J6" s="92">
        <v>110.4</v>
      </c>
      <c r="K6" s="85">
        <v>109.84</v>
      </c>
      <c r="L6" s="85">
        <v>115.16500000000001</v>
      </c>
    </row>
    <row r="7" spans="1:12" ht="25.15" customHeight="1" x14ac:dyDescent="0.25">
      <c r="A7" s="56"/>
      <c r="B7" s="57" t="s">
        <v>145</v>
      </c>
      <c r="C7" s="52" t="s">
        <v>146</v>
      </c>
      <c r="D7" s="85">
        <v>18245.916515426496</v>
      </c>
      <c r="E7" s="85">
        <v>17986.324786324785</v>
      </c>
      <c r="F7" s="85">
        <v>18629.067843353558</v>
      </c>
      <c r="G7" s="85">
        <v>19658.149072753211</v>
      </c>
      <c r="H7" s="85">
        <v>21521.153153153155</v>
      </c>
      <c r="I7" s="85">
        <f>2091200/I6</f>
        <v>19160.711013377313</v>
      </c>
      <c r="J7" s="85">
        <f>1883600/J6</f>
        <v>17061.594202898548</v>
      </c>
      <c r="K7" s="85">
        <f>2228523/K6</f>
        <v>20288.810997815002</v>
      </c>
      <c r="L7" s="85"/>
    </row>
    <row r="8" spans="1:12" ht="25.15" customHeight="1" x14ac:dyDescent="0.25">
      <c r="A8" s="56"/>
      <c r="B8" s="57" t="s">
        <v>168</v>
      </c>
      <c r="C8" s="52" t="s">
        <v>146</v>
      </c>
      <c r="D8" s="85"/>
      <c r="E8" s="85"/>
      <c r="F8" s="85"/>
      <c r="G8" s="85"/>
      <c r="H8" s="85"/>
      <c r="I8" s="85">
        <f>125500/I6</f>
        <v>1149.8992120212572</v>
      </c>
      <c r="J8" s="85">
        <f>90300/J6</f>
        <v>817.93478260869563</v>
      </c>
      <c r="K8" s="85">
        <f>132063/K6</f>
        <v>1202.3215586307356</v>
      </c>
      <c r="L8" s="85"/>
    </row>
    <row r="9" spans="1:12" ht="25.15" customHeight="1" x14ac:dyDescent="0.25">
      <c r="A9" s="56"/>
      <c r="B9" s="57" t="s">
        <v>166</v>
      </c>
      <c r="C9" s="52" t="s">
        <v>7</v>
      </c>
      <c r="D9" s="85"/>
      <c r="E9" s="85"/>
      <c r="F9" s="85"/>
      <c r="G9" s="85"/>
      <c r="H9" s="85"/>
      <c r="I9" s="60">
        <f>I8/I7</f>
        <v>6.0013389441469021E-2</v>
      </c>
      <c r="J9" s="60">
        <f>J8/J7</f>
        <v>4.7940114674028464E-2</v>
      </c>
      <c r="K9" s="60">
        <f>K8/K7</f>
        <v>5.9260326234012395E-2</v>
      </c>
      <c r="L9" s="60"/>
    </row>
    <row r="10" spans="1:12" ht="25.15" customHeight="1" x14ac:dyDescent="0.25">
      <c r="A10" s="56"/>
      <c r="B10" s="57" t="s">
        <v>147</v>
      </c>
      <c r="C10" s="52" t="s">
        <v>146</v>
      </c>
      <c r="D10" s="85">
        <v>539.92740471869331</v>
      </c>
      <c r="E10" s="85">
        <v>502.56410256410254</v>
      </c>
      <c r="F10" s="85">
        <v>544.21768707482988</v>
      </c>
      <c r="G10" s="85">
        <v>590.22824536376606</v>
      </c>
      <c r="H10" s="85">
        <v>598.19819819819816</v>
      </c>
      <c r="I10" s="85">
        <f>66800/I6</f>
        <v>612.05790727505951</v>
      </c>
      <c r="J10" s="85">
        <f>62800/J6</f>
        <v>568.84057971014488</v>
      </c>
      <c r="K10" s="85">
        <f>62100/K6</f>
        <v>565.36780772032046</v>
      </c>
      <c r="L10" s="85"/>
    </row>
    <row r="11" spans="1:12" ht="25.15" customHeight="1" x14ac:dyDescent="0.25">
      <c r="A11" s="56"/>
      <c r="B11" s="57" t="s">
        <v>148</v>
      </c>
      <c r="C11" s="52" t="s">
        <v>7</v>
      </c>
      <c r="D11" s="60">
        <f>D10/D7</f>
        <v>2.959168448798926E-2</v>
      </c>
      <c r="E11" s="60">
        <f t="shared" ref="E11:K11" si="0">E10/E7</f>
        <v>2.7941455996958752E-2</v>
      </c>
      <c r="F11" s="60">
        <f t="shared" si="0"/>
        <v>2.9213361164981466E-2</v>
      </c>
      <c r="G11" s="60">
        <f t="shared" si="0"/>
        <v>3.0024609294566816E-2</v>
      </c>
      <c r="H11" s="60">
        <f t="shared" si="0"/>
        <v>2.7795824598300097E-2</v>
      </c>
      <c r="I11" s="60">
        <f t="shared" si="0"/>
        <v>3.1943381790359597E-2</v>
      </c>
      <c r="J11" s="60">
        <f t="shared" si="0"/>
        <v>3.3340411977065193E-2</v>
      </c>
      <c r="K11" s="60">
        <f t="shared" si="0"/>
        <v>2.7865990164786275E-2</v>
      </c>
      <c r="L11" s="60"/>
    </row>
    <row r="12" spans="1:12" ht="25.15" customHeight="1" x14ac:dyDescent="0.25">
      <c r="A12" s="56"/>
      <c r="B12" s="57" t="s">
        <v>149</v>
      </c>
      <c r="C12" s="52" t="s">
        <v>146</v>
      </c>
      <c r="D12" s="85">
        <v>1166.0617059891106</v>
      </c>
      <c r="E12" s="85">
        <v>1104.2735042735044</v>
      </c>
      <c r="F12" s="85">
        <f>135200/F6</f>
        <v>1242.8755285898144</v>
      </c>
      <c r="G12" s="85">
        <f>135200/G6</f>
        <v>1205.4208273894437</v>
      </c>
      <c r="H12" s="85">
        <f>135200/H6</f>
        <v>1218.018018018018</v>
      </c>
      <c r="I12" s="85">
        <f>135200/I6</f>
        <v>1238.77588418545</v>
      </c>
      <c r="J12" s="85">
        <f>135200/J6</f>
        <v>1224.6376811594203</v>
      </c>
      <c r="K12" s="85"/>
      <c r="L12" s="85"/>
    </row>
    <row r="13" spans="1:12" ht="28.9" customHeight="1" x14ac:dyDescent="0.25">
      <c r="A13" s="61">
        <f>A5+1</f>
        <v>2</v>
      </c>
      <c r="B13" s="62" t="s">
        <v>100</v>
      </c>
      <c r="C13" s="54"/>
      <c r="D13" s="63"/>
      <c r="E13" s="63"/>
      <c r="F13" s="64"/>
      <c r="G13" s="64"/>
      <c r="H13" s="55"/>
      <c r="I13" s="64"/>
      <c r="J13" s="61"/>
      <c r="K13" s="54"/>
      <c r="L13" s="54"/>
    </row>
    <row r="14" spans="1:12" ht="28.9" customHeight="1" x14ac:dyDescent="0.25">
      <c r="A14" s="56"/>
      <c r="B14" s="57" t="s">
        <v>145</v>
      </c>
      <c r="C14" s="52" t="s">
        <v>146</v>
      </c>
      <c r="D14" s="65">
        <v>1855.5</v>
      </c>
      <c r="E14" s="65">
        <v>1861.2</v>
      </c>
      <c r="F14" s="58">
        <v>2004.3</v>
      </c>
      <c r="G14" s="58">
        <v>1973.3</v>
      </c>
      <c r="H14" s="58">
        <v>2189.1</v>
      </c>
      <c r="I14" s="58">
        <v>2355.6999999999998</v>
      </c>
      <c r="J14" s="56">
        <v>1502.4</v>
      </c>
      <c r="K14" s="83">
        <v>1324.7</v>
      </c>
      <c r="L14" s="83">
        <v>1577.7</v>
      </c>
    </row>
    <row r="15" spans="1:12" ht="28.9" customHeight="1" x14ac:dyDescent="0.25">
      <c r="A15" s="56"/>
      <c r="B15" s="57" t="s">
        <v>170</v>
      </c>
      <c r="C15" s="52" t="s">
        <v>146</v>
      </c>
      <c r="D15" s="65"/>
      <c r="E15" s="65"/>
      <c r="F15" s="58"/>
      <c r="G15" s="58">
        <v>455.1</v>
      </c>
      <c r="H15" s="58">
        <v>502</v>
      </c>
      <c r="I15" s="58">
        <v>566.9</v>
      </c>
      <c r="J15" s="56">
        <v>212.9</v>
      </c>
      <c r="K15" s="86">
        <v>280.60000000000002</v>
      </c>
      <c r="L15" s="86"/>
    </row>
    <row r="16" spans="1:12" ht="28.9" customHeight="1" x14ac:dyDescent="0.25">
      <c r="A16" s="56"/>
      <c r="B16" s="57" t="s">
        <v>170</v>
      </c>
      <c r="C16" s="52" t="s">
        <v>7</v>
      </c>
      <c r="D16" s="65"/>
      <c r="E16" s="67"/>
      <c r="F16" s="67"/>
      <c r="G16" s="60">
        <f>G15/G14</f>
        <v>0.23062889575837431</v>
      </c>
      <c r="H16" s="60">
        <f>H15/H14</f>
        <v>0.2293179845598648</v>
      </c>
      <c r="I16" s="60">
        <f>I15/I14</f>
        <v>0.24065033747930553</v>
      </c>
      <c r="J16" s="60">
        <f>J15/J14</f>
        <v>0.14170660276890309</v>
      </c>
      <c r="K16" s="60">
        <f>K15/K14</f>
        <v>0.21182154450064167</v>
      </c>
      <c r="L16" s="60"/>
    </row>
    <row r="17" spans="1:12" ht="28.9" customHeight="1" x14ac:dyDescent="0.25">
      <c r="A17" s="56"/>
      <c r="B17" s="57" t="s">
        <v>168</v>
      </c>
      <c r="C17" s="52" t="s">
        <v>146</v>
      </c>
      <c r="D17" s="65"/>
      <c r="E17" s="65"/>
      <c r="F17" s="58"/>
      <c r="G17" s="58"/>
      <c r="H17" s="58"/>
      <c r="I17" s="58">
        <v>640.4</v>
      </c>
      <c r="J17" s="56">
        <v>239.7</v>
      </c>
      <c r="K17" s="80">
        <v>250.1</v>
      </c>
      <c r="L17" s="80">
        <v>357.1</v>
      </c>
    </row>
    <row r="18" spans="1:12" ht="28.9" customHeight="1" x14ac:dyDescent="0.25">
      <c r="A18" s="56"/>
      <c r="B18" s="57" t="s">
        <v>166</v>
      </c>
      <c r="C18" s="52" t="s">
        <v>7</v>
      </c>
      <c r="D18" s="67"/>
      <c r="E18" s="67"/>
      <c r="F18" s="67"/>
      <c r="G18" s="67"/>
      <c r="H18" s="67"/>
      <c r="I18" s="60">
        <f>I17/I14</f>
        <v>0.2718512544042111</v>
      </c>
      <c r="J18" s="60">
        <f>J17/J14</f>
        <v>0.15954472843450476</v>
      </c>
      <c r="K18" s="60">
        <f>K17/K14</f>
        <v>0.18879746357665886</v>
      </c>
      <c r="L18" s="60">
        <f>L17/L14</f>
        <v>0.22634214362679853</v>
      </c>
    </row>
    <row r="19" spans="1:12" ht="28.9" customHeight="1" x14ac:dyDescent="0.25">
      <c r="A19" s="56"/>
      <c r="B19" s="57" t="s">
        <v>150</v>
      </c>
      <c r="C19" s="52" t="s">
        <v>146</v>
      </c>
      <c r="D19" s="65"/>
      <c r="E19" s="65"/>
      <c r="F19" s="58"/>
      <c r="G19" s="58"/>
      <c r="H19" s="58"/>
      <c r="I19" s="58">
        <v>1863.1</v>
      </c>
      <c r="J19" s="56">
        <v>1185.9000000000001</v>
      </c>
      <c r="K19" s="56">
        <v>1019.4</v>
      </c>
      <c r="L19" s="56">
        <v>1279.7</v>
      </c>
    </row>
    <row r="20" spans="1:12" ht="28.9" customHeight="1" x14ac:dyDescent="0.25">
      <c r="A20" s="56"/>
      <c r="B20" s="57" t="s">
        <v>147</v>
      </c>
      <c r="C20" s="52" t="s">
        <v>146</v>
      </c>
      <c r="D20" s="65">
        <v>47.9</v>
      </c>
      <c r="E20" s="65">
        <v>44.3</v>
      </c>
      <c r="F20" s="66">
        <v>46.9</v>
      </c>
      <c r="G20" s="66">
        <v>49.4</v>
      </c>
      <c r="H20" s="66">
        <v>55.9</v>
      </c>
      <c r="I20" s="66">
        <v>56.5</v>
      </c>
      <c r="J20" s="56">
        <v>46.6</v>
      </c>
      <c r="K20" s="56">
        <v>45.1</v>
      </c>
      <c r="L20" s="56">
        <v>45.8</v>
      </c>
    </row>
    <row r="21" spans="1:12" ht="28.9" customHeight="1" x14ac:dyDescent="0.25">
      <c r="A21" s="56"/>
      <c r="B21" s="57" t="s">
        <v>148</v>
      </c>
      <c r="C21" s="52" t="s">
        <v>7</v>
      </c>
      <c r="D21" s="67">
        <f t="shared" ref="D21:L21" si="1">D20/D14</f>
        <v>2.5815144165992992E-2</v>
      </c>
      <c r="E21" s="67">
        <f t="shared" si="1"/>
        <v>2.3801848269933375E-2</v>
      </c>
      <c r="F21" s="67">
        <f t="shared" si="1"/>
        <v>2.33996906650701E-2</v>
      </c>
      <c r="G21" s="67">
        <f t="shared" si="1"/>
        <v>2.5034206658896264E-2</v>
      </c>
      <c r="H21" s="67">
        <f t="shared" si="1"/>
        <v>2.5535608240829566E-2</v>
      </c>
      <c r="I21" s="67">
        <f t="shared" si="1"/>
        <v>2.3984378316423995E-2</v>
      </c>
      <c r="J21" s="67">
        <f t="shared" si="1"/>
        <v>3.1017039403620873E-2</v>
      </c>
      <c r="K21" s="67">
        <f t="shared" si="1"/>
        <v>3.4045444251528646E-2</v>
      </c>
      <c r="L21" s="67">
        <f t="shared" si="1"/>
        <v>2.9029600050706723E-2</v>
      </c>
    </row>
    <row r="22" spans="1:12" ht="28.9" customHeight="1" x14ac:dyDescent="0.25">
      <c r="A22" s="56"/>
      <c r="B22" s="57" t="s">
        <v>149</v>
      </c>
      <c r="C22" s="52" t="s">
        <v>146</v>
      </c>
      <c r="D22" s="34"/>
      <c r="E22" s="34"/>
      <c r="F22" s="68"/>
      <c r="G22" s="68"/>
      <c r="H22" s="58">
        <v>187.5</v>
      </c>
      <c r="I22" s="58">
        <v>367.29999999999995</v>
      </c>
      <c r="J22" s="56">
        <v>50.6</v>
      </c>
      <c r="K22" s="56">
        <v>27.9</v>
      </c>
      <c r="L22" s="56">
        <v>76.3</v>
      </c>
    </row>
    <row r="23" spans="1:12" ht="28.9" customHeight="1" x14ac:dyDescent="0.25">
      <c r="A23" s="56"/>
      <c r="B23" s="57" t="s">
        <v>167</v>
      </c>
      <c r="C23" s="52" t="s">
        <v>146</v>
      </c>
      <c r="D23" s="34"/>
      <c r="E23" s="34"/>
      <c r="F23" s="68"/>
      <c r="G23" s="68"/>
      <c r="H23" s="58"/>
      <c r="I23" s="58">
        <v>163.19999999999999</v>
      </c>
      <c r="J23" s="56">
        <v>0</v>
      </c>
      <c r="K23" s="56">
        <v>0</v>
      </c>
      <c r="L23" s="56">
        <v>0</v>
      </c>
    </row>
    <row r="24" spans="1:12" ht="22.9" customHeight="1" x14ac:dyDescent="0.25">
      <c r="A24" s="61">
        <f>A13+1</f>
        <v>3</v>
      </c>
      <c r="B24" s="62" t="s">
        <v>151</v>
      </c>
      <c r="C24" s="54"/>
      <c r="D24" s="62"/>
      <c r="E24" s="62"/>
      <c r="F24" s="62"/>
      <c r="G24" s="62"/>
      <c r="H24" s="62"/>
      <c r="I24" s="62"/>
      <c r="J24" s="69"/>
      <c r="K24" s="69"/>
      <c r="L24" s="186">
        <f>L22/L14</f>
        <v>4.8361538949103125E-2</v>
      </c>
    </row>
    <row r="25" spans="1:12" ht="22.9" customHeight="1" x14ac:dyDescent="0.25">
      <c r="A25" s="56"/>
      <c r="B25" s="57" t="s">
        <v>144</v>
      </c>
      <c r="C25" s="52"/>
      <c r="D25" s="58">
        <v>110.2</v>
      </c>
      <c r="E25" s="58">
        <v>117</v>
      </c>
      <c r="F25" s="58">
        <v>108.78</v>
      </c>
      <c r="G25" s="58">
        <v>112.16</v>
      </c>
      <c r="H25" s="58">
        <v>111</v>
      </c>
      <c r="I25" s="52">
        <v>109.14</v>
      </c>
      <c r="J25" s="52">
        <v>110.4</v>
      </c>
      <c r="K25" s="85">
        <f>K6</f>
        <v>109.84</v>
      </c>
      <c r="L25" s="85">
        <v>115.16500000000001</v>
      </c>
    </row>
    <row r="26" spans="1:12" ht="22.9" customHeight="1" x14ac:dyDescent="0.25">
      <c r="A26" s="56"/>
      <c r="B26" s="57" t="s">
        <v>145</v>
      </c>
      <c r="C26" s="52" t="s">
        <v>146</v>
      </c>
      <c r="D26" s="57"/>
      <c r="E26" s="57"/>
      <c r="F26" s="85">
        <v>31035.640742783598</v>
      </c>
      <c r="G26" s="85">
        <v>33206.187589158348</v>
      </c>
      <c r="H26" s="85">
        <v>35346.342342342345</v>
      </c>
      <c r="I26" s="85">
        <f>3580510/I25</f>
        <v>32806.578706248853</v>
      </c>
      <c r="J26" s="85">
        <f>3257535/J25</f>
        <v>29506.657608695652</v>
      </c>
      <c r="K26" s="85">
        <f>3976948/K25</f>
        <v>36206.737072104879</v>
      </c>
      <c r="L26" s="85"/>
    </row>
    <row r="27" spans="1:12" ht="22.9" customHeight="1" x14ac:dyDescent="0.25">
      <c r="A27" s="56"/>
      <c r="B27" s="57" t="s">
        <v>147</v>
      </c>
      <c r="C27" s="52" t="s">
        <v>146</v>
      </c>
      <c r="D27" s="57"/>
      <c r="E27" s="57"/>
      <c r="F27" s="85">
        <v>1160.9670895385182</v>
      </c>
      <c r="G27" s="85">
        <v>1237.8120542082738</v>
      </c>
      <c r="H27" s="85">
        <v>1295.8198198198197</v>
      </c>
      <c r="I27" s="85">
        <f>133368/I25</f>
        <v>1221.9901044529961</v>
      </c>
      <c r="J27" s="85">
        <f>126073/J25</f>
        <v>1141.9655797101448</v>
      </c>
      <c r="K27" s="85">
        <f>156574/K25</f>
        <v>1425.4734158776403</v>
      </c>
      <c r="L27" s="85"/>
    </row>
    <row r="28" spans="1:12" ht="22.9" customHeight="1" x14ac:dyDescent="0.25">
      <c r="A28" s="56"/>
      <c r="B28" s="57" t="s">
        <v>148</v>
      </c>
      <c r="C28" s="52" t="s">
        <v>7</v>
      </c>
      <c r="D28" s="57"/>
      <c r="E28" s="57"/>
      <c r="F28" s="60">
        <f t="shared" ref="F28:K28" si="2">F27/F26</f>
        <v>3.7407543770736101E-2</v>
      </c>
      <c r="G28" s="60">
        <f t="shared" si="2"/>
        <v>3.727654826031318E-2</v>
      </c>
      <c r="H28" s="60">
        <f t="shared" si="2"/>
        <v>3.6660648144844168E-2</v>
      </c>
      <c r="I28" s="60">
        <f t="shared" si="2"/>
        <v>3.7248324959293512E-2</v>
      </c>
      <c r="J28" s="60">
        <f t="shared" si="2"/>
        <v>3.8701963294331447E-2</v>
      </c>
      <c r="K28" s="60">
        <f t="shared" si="2"/>
        <v>3.9370391566598308E-2</v>
      </c>
      <c r="L28" s="60"/>
    </row>
    <row r="29" spans="1:12" ht="22.9" customHeight="1" x14ac:dyDescent="0.25">
      <c r="A29" s="56"/>
      <c r="B29" s="57" t="s">
        <v>149</v>
      </c>
      <c r="C29" s="52" t="s">
        <v>146</v>
      </c>
      <c r="D29" s="57"/>
      <c r="E29" s="57"/>
      <c r="F29" s="59"/>
      <c r="G29" s="59"/>
      <c r="H29" s="85">
        <v>2087.765765765766</v>
      </c>
      <c r="I29" s="85">
        <f>240390/I25</f>
        <v>2202.5838372732269</v>
      </c>
      <c r="J29" s="85">
        <f>263715/J25</f>
        <v>2388.7228260869565</v>
      </c>
      <c r="K29" s="85">
        <f>254589/K25</f>
        <v>2317.8168244719591</v>
      </c>
      <c r="L29" s="85"/>
    </row>
    <row r="30" spans="1:12" ht="24.6" customHeight="1" x14ac:dyDescent="0.25">
      <c r="A30" s="70">
        <f>A24+1</f>
        <v>4</v>
      </c>
      <c r="B30" s="71" t="s">
        <v>152</v>
      </c>
      <c r="C30" s="72" t="s">
        <v>146</v>
      </c>
      <c r="D30" s="71"/>
      <c r="E30" s="71"/>
      <c r="F30" s="71"/>
      <c r="G30" s="71"/>
      <c r="H30" s="71"/>
      <c r="I30" s="71"/>
      <c r="J30" s="71"/>
      <c r="K30" s="84"/>
      <c r="L30" s="84"/>
    </row>
    <row r="31" spans="1:12" ht="24.6" customHeight="1" x14ac:dyDescent="0.25">
      <c r="A31" s="56"/>
      <c r="B31" s="57" t="s">
        <v>153</v>
      </c>
      <c r="C31" s="52"/>
      <c r="D31" s="65">
        <v>0.9</v>
      </c>
      <c r="E31" s="65">
        <v>0.9</v>
      </c>
      <c r="F31" s="65">
        <v>0.9</v>
      </c>
      <c r="G31" s="65">
        <v>0.91</v>
      </c>
      <c r="H31" s="65">
        <v>0.84</v>
      </c>
      <c r="I31" s="65">
        <v>0.87</v>
      </c>
      <c r="J31" s="56">
        <v>0.82</v>
      </c>
      <c r="K31" s="82">
        <v>0.8458</v>
      </c>
      <c r="L31" s="82">
        <v>0.95179999999999998</v>
      </c>
    </row>
    <row r="32" spans="1:12" ht="24.6" customHeight="1" x14ac:dyDescent="0.25">
      <c r="A32" s="56"/>
      <c r="B32" s="57" t="s">
        <v>145</v>
      </c>
      <c r="C32" s="52" t="s">
        <v>146</v>
      </c>
      <c r="D32" s="59"/>
      <c r="E32" s="59"/>
      <c r="F32" s="59"/>
      <c r="G32" s="59">
        <v>945.16483516483515</v>
      </c>
      <c r="H32" s="59">
        <v>1247.0238095238096</v>
      </c>
      <c r="I32" s="59">
        <v>1249.0804597701151</v>
      </c>
      <c r="J32" s="59">
        <f>919.4/J31</f>
        <v>1121.219512195122</v>
      </c>
      <c r="K32" s="59">
        <f>1007/K31</f>
        <v>1190.5887916765193</v>
      </c>
      <c r="L32" s="59">
        <f>1135.9/L31</f>
        <v>1193.422988022694</v>
      </c>
    </row>
    <row r="33" spans="1:12" ht="24.6" customHeight="1" x14ac:dyDescent="0.25">
      <c r="A33" s="56"/>
      <c r="B33" s="57" t="s">
        <v>170</v>
      </c>
      <c r="C33" s="52" t="s">
        <v>146</v>
      </c>
      <c r="D33" s="59"/>
      <c r="E33" s="59"/>
      <c r="F33" s="59"/>
      <c r="G33" s="59"/>
      <c r="H33" s="59"/>
      <c r="I33" s="59"/>
      <c r="J33" s="59">
        <f>92.8/J31</f>
        <v>113.17073170731707</v>
      </c>
      <c r="K33" s="59">
        <f>140/K31</f>
        <v>165.52376448332939</v>
      </c>
      <c r="L33" s="59">
        <f>172.8/L31</f>
        <v>181.5507459550326</v>
      </c>
    </row>
    <row r="34" spans="1:12" ht="24.6" customHeight="1" x14ac:dyDescent="0.25">
      <c r="A34" s="56"/>
      <c r="B34" s="57" t="s">
        <v>170</v>
      </c>
      <c r="C34" s="52" t="s">
        <v>7</v>
      </c>
      <c r="D34" s="59"/>
      <c r="E34" s="59"/>
      <c r="F34" s="59"/>
      <c r="G34" s="59"/>
      <c r="H34" s="59"/>
      <c r="I34" s="59"/>
      <c r="J34" s="60">
        <f>J33/J32</f>
        <v>0.10093539264737872</v>
      </c>
      <c r="K34" s="60">
        <f>K33/K32</f>
        <v>0.13902681231380337</v>
      </c>
      <c r="L34" s="60">
        <f>L33/L32</f>
        <v>0.15212606743551368</v>
      </c>
    </row>
    <row r="35" spans="1:12" ht="24.6" customHeight="1" x14ac:dyDescent="0.25">
      <c r="A35" s="56"/>
      <c r="B35" s="57" t="s">
        <v>168</v>
      </c>
      <c r="C35" s="52" t="s">
        <v>146</v>
      </c>
      <c r="D35" s="59"/>
      <c r="E35" s="59"/>
      <c r="F35" s="59"/>
      <c r="G35" s="59"/>
      <c r="H35" s="59"/>
      <c r="I35" s="59"/>
      <c r="J35" s="59">
        <f>169.5/J31</f>
        <v>206.70731707317074</v>
      </c>
      <c r="K35" s="59">
        <f>222.9/K31</f>
        <v>263.53747930952943</v>
      </c>
      <c r="L35" s="59">
        <f>260.6/L31</f>
        <v>273.79701617986973</v>
      </c>
    </row>
    <row r="36" spans="1:12" ht="24.6" customHeight="1" x14ac:dyDescent="0.25">
      <c r="A36" s="56"/>
      <c r="B36" s="57" t="s">
        <v>166</v>
      </c>
      <c r="C36" s="52" t="s">
        <v>7</v>
      </c>
      <c r="D36" s="59"/>
      <c r="E36" s="59"/>
      <c r="F36" s="59"/>
      <c r="G36" s="59"/>
      <c r="H36" s="59"/>
      <c r="I36" s="59"/>
      <c r="J36" s="60">
        <f>J35/J32</f>
        <v>0.18435936480313247</v>
      </c>
      <c r="K36" s="60">
        <f>K35/K32</f>
        <v>0.22135054617676264</v>
      </c>
      <c r="L36" s="60">
        <f>L35/L32</f>
        <v>0.22942160401443787</v>
      </c>
    </row>
    <row r="37" spans="1:12" ht="24.6" customHeight="1" x14ac:dyDescent="0.25">
      <c r="A37" s="56"/>
      <c r="B37" s="57" t="s">
        <v>169</v>
      </c>
      <c r="C37" s="52" t="s">
        <v>146</v>
      </c>
      <c r="D37" s="59"/>
      <c r="E37" s="59"/>
      <c r="F37" s="59"/>
      <c r="G37" s="59"/>
      <c r="H37" s="59"/>
      <c r="I37" s="59"/>
      <c r="J37" s="85">
        <f>303.9/J31</f>
        <v>370.60975609756099</v>
      </c>
      <c r="K37" s="59">
        <f>337.2/K31</f>
        <v>398.67580988413334</v>
      </c>
      <c r="L37" s="59">
        <f>347.2/L31</f>
        <v>364.78251733557471</v>
      </c>
    </row>
    <row r="38" spans="1:12" ht="24.6" customHeight="1" x14ac:dyDescent="0.25">
      <c r="A38" s="56"/>
      <c r="B38" s="57" t="s">
        <v>170</v>
      </c>
      <c r="C38" s="52" t="s">
        <v>146</v>
      </c>
      <c r="D38" s="59"/>
      <c r="E38" s="59"/>
      <c r="F38" s="59"/>
      <c r="G38" s="59"/>
      <c r="H38" s="59"/>
      <c r="I38" s="59"/>
      <c r="J38" s="85">
        <f>41.4/J31</f>
        <v>50.487804878048784</v>
      </c>
      <c r="K38" s="59">
        <f>54.5/K31</f>
        <v>64.436036888153225</v>
      </c>
      <c r="L38" s="59">
        <f>43.2/L31</f>
        <v>45.387686488758149</v>
      </c>
    </row>
    <row r="39" spans="1:12" ht="24.6" customHeight="1" x14ac:dyDescent="0.25">
      <c r="A39" s="56"/>
      <c r="B39" s="57" t="s">
        <v>170</v>
      </c>
      <c r="C39" s="52" t="s">
        <v>7</v>
      </c>
      <c r="D39" s="59"/>
      <c r="E39" s="59"/>
      <c r="F39" s="59"/>
      <c r="G39" s="59"/>
      <c r="H39" s="59"/>
      <c r="I39" s="59"/>
      <c r="J39" s="60">
        <f>J38/J37</f>
        <v>0.13622902270483711</v>
      </c>
      <c r="K39" s="60">
        <f>K38/K37</f>
        <v>0.16162514827995256</v>
      </c>
      <c r="L39" s="60">
        <f>L38/L37</f>
        <v>0.12442396313364057</v>
      </c>
    </row>
    <row r="40" spans="1:12" ht="24.6" customHeight="1" x14ac:dyDescent="0.25">
      <c r="A40" s="56"/>
      <c r="B40" s="57" t="s">
        <v>147</v>
      </c>
      <c r="C40" s="52" t="s">
        <v>146</v>
      </c>
      <c r="D40" s="59">
        <v>42.222222222222221</v>
      </c>
      <c r="E40" s="59">
        <v>41.666666666666664</v>
      </c>
      <c r="F40" s="59">
        <v>33.666666666666664</v>
      </c>
      <c r="G40" s="59">
        <v>33.736263736263737</v>
      </c>
      <c r="H40" s="59">
        <v>39.285714285714285</v>
      </c>
      <c r="I40" s="59">
        <v>42.298850574712638</v>
      </c>
      <c r="J40" s="59">
        <f>33.3/J31</f>
        <v>40.609756097560975</v>
      </c>
      <c r="K40" s="59">
        <f>31/K31</f>
        <v>36.651690707022937</v>
      </c>
      <c r="L40" s="59">
        <f>29.3/L31</f>
        <v>30.783778104643833</v>
      </c>
    </row>
    <row r="41" spans="1:12" ht="24.6" customHeight="1" x14ac:dyDescent="0.25">
      <c r="A41" s="56"/>
      <c r="B41" s="57" t="s">
        <v>148</v>
      </c>
      <c r="C41" s="52" t="s">
        <v>7</v>
      </c>
      <c r="D41" s="59"/>
      <c r="E41" s="59"/>
      <c r="F41" s="59"/>
      <c r="G41" s="60">
        <f t="shared" ref="G41:L41" si="3">G40/G32</f>
        <v>3.5693524008836186E-2</v>
      </c>
      <c r="H41" s="60">
        <f t="shared" si="3"/>
        <v>3.1503579952267297E-2</v>
      </c>
      <c r="I41" s="60">
        <f t="shared" si="3"/>
        <v>3.3863991902088886E-2</v>
      </c>
      <c r="J41" s="60">
        <f t="shared" si="3"/>
        <v>3.6219273439199479E-2</v>
      </c>
      <c r="K41" s="60">
        <f t="shared" si="3"/>
        <v>3.0784508440913603E-2</v>
      </c>
      <c r="L41" s="60">
        <f t="shared" si="3"/>
        <v>2.5794524165859669E-2</v>
      </c>
    </row>
    <row r="42" spans="1:12" ht="24.6" customHeight="1" x14ac:dyDescent="0.25">
      <c r="A42" s="56"/>
      <c r="B42" s="57" t="s">
        <v>149</v>
      </c>
      <c r="C42" s="52" t="s">
        <v>146</v>
      </c>
      <c r="D42" s="59">
        <v>147.77777777777777</v>
      </c>
      <c r="E42" s="59">
        <v>83.333333333333329</v>
      </c>
      <c r="F42" s="59">
        <v>38.444444444444443</v>
      </c>
      <c r="G42" s="59">
        <v>58.131868131868131</v>
      </c>
      <c r="H42" s="59">
        <v>92.857142857142861</v>
      </c>
      <c r="I42" s="59">
        <v>109.19540229885058</v>
      </c>
      <c r="J42" s="59">
        <f>55.8/J31</f>
        <v>68.048780487804876</v>
      </c>
      <c r="K42" s="59">
        <f>50/K31</f>
        <v>59.115630172617642</v>
      </c>
      <c r="L42" s="59">
        <f>52.9/L31</f>
        <v>55.578903130909858</v>
      </c>
    </row>
    <row r="43" spans="1:12" ht="31.15" customHeight="1" x14ac:dyDescent="0.25">
      <c r="A43" s="61">
        <f>A30+1</f>
        <v>5</v>
      </c>
      <c r="B43" s="62" t="s">
        <v>154</v>
      </c>
      <c r="C43" s="54" t="s">
        <v>146</v>
      </c>
      <c r="D43" s="62"/>
      <c r="E43" s="62"/>
      <c r="F43" s="62"/>
      <c r="G43" s="62"/>
      <c r="H43" s="62"/>
      <c r="I43" s="62"/>
      <c r="J43" s="62"/>
      <c r="K43" s="81"/>
      <c r="L43" s="81">
        <f>L42/L32</f>
        <v>4.6571000968395102E-2</v>
      </c>
    </row>
    <row r="44" spans="1:12" ht="31.15" customHeight="1" x14ac:dyDescent="0.25">
      <c r="A44" s="56"/>
      <c r="B44" s="57" t="s">
        <v>144</v>
      </c>
      <c r="C44" s="52"/>
      <c r="D44" s="58">
        <v>110.2</v>
      </c>
      <c r="E44" s="58">
        <v>117</v>
      </c>
      <c r="F44" s="58">
        <v>108.78</v>
      </c>
      <c r="G44" s="58">
        <v>112.16</v>
      </c>
      <c r="H44" s="58">
        <v>111</v>
      </c>
      <c r="I44" s="92">
        <v>109.14</v>
      </c>
      <c r="J44" s="92">
        <v>110.4</v>
      </c>
      <c r="K44" s="85">
        <v>109.84</v>
      </c>
      <c r="L44" s="85">
        <v>115.16500000000001</v>
      </c>
    </row>
    <row r="45" spans="1:12" ht="31.15" customHeight="1" x14ac:dyDescent="0.25">
      <c r="A45" s="56"/>
      <c r="B45" s="57" t="s">
        <v>145</v>
      </c>
      <c r="C45" s="52" t="s">
        <v>146</v>
      </c>
      <c r="D45" s="85"/>
      <c r="E45" s="85">
        <v>6758.5299145299141</v>
      </c>
      <c r="F45" s="85">
        <v>6814.5982717411289</v>
      </c>
      <c r="G45" s="85">
        <v>7444.5970042796007</v>
      </c>
      <c r="H45" s="85">
        <v>8005.3063063063064</v>
      </c>
      <c r="I45" s="85">
        <f>853746/I44</f>
        <v>7822.4848818031887</v>
      </c>
      <c r="J45" s="85">
        <f>836512/J44</f>
        <v>7577.101449275362</v>
      </c>
      <c r="K45" s="85">
        <f>926024/K44</f>
        <v>8430.6627822286955</v>
      </c>
      <c r="L45" s="85"/>
    </row>
    <row r="46" spans="1:12" ht="31.15" customHeight="1" x14ac:dyDescent="0.25">
      <c r="A46" s="56"/>
      <c r="B46" s="57" t="s">
        <v>170</v>
      </c>
      <c r="C46" s="52" t="s">
        <v>146</v>
      </c>
      <c r="D46" s="85"/>
      <c r="E46" s="85"/>
      <c r="F46" s="85"/>
      <c r="G46" s="85"/>
      <c r="H46" s="85"/>
      <c r="I46" s="85">
        <f>107200/I44</f>
        <v>982.22466556716142</v>
      </c>
      <c r="J46" s="85">
        <f>106800/J44</f>
        <v>967.39130434782601</v>
      </c>
      <c r="K46" s="85">
        <f>113000/K44</f>
        <v>1028.7691187181354</v>
      </c>
      <c r="L46" s="85"/>
    </row>
    <row r="47" spans="1:12" ht="31.15" customHeight="1" x14ac:dyDescent="0.25">
      <c r="A47" s="56"/>
      <c r="B47" s="57" t="s">
        <v>170</v>
      </c>
      <c r="C47" s="52" t="s">
        <v>7</v>
      </c>
      <c r="D47" s="85"/>
      <c r="E47" s="85"/>
      <c r="F47" s="85"/>
      <c r="G47" s="85"/>
      <c r="H47" s="85"/>
      <c r="I47" s="60">
        <f>I46/I45</f>
        <v>0.12556427789998431</v>
      </c>
      <c r="J47" s="60">
        <f>J46/J45</f>
        <v>0.12767300409318694</v>
      </c>
      <c r="K47" s="60">
        <f>K46/K45</f>
        <v>0.12202707489222742</v>
      </c>
      <c r="L47" s="60"/>
    </row>
    <row r="48" spans="1:12" ht="31.15" customHeight="1" x14ac:dyDescent="0.25">
      <c r="A48" s="56"/>
      <c r="B48" s="57" t="s">
        <v>147</v>
      </c>
      <c r="C48" s="52" t="s">
        <v>146</v>
      </c>
      <c r="D48" s="85"/>
      <c r="E48" s="85">
        <v>284.4871794871795</v>
      </c>
      <c r="F48" s="85">
        <v>325.58374701231844</v>
      </c>
      <c r="G48" s="85">
        <v>320.3191868758916</v>
      </c>
      <c r="H48" s="85">
        <v>328.12612612612611</v>
      </c>
      <c r="I48" s="85">
        <f>34482/I44</f>
        <v>315.94282572842224</v>
      </c>
      <c r="J48" s="85">
        <f>32700/J44</f>
        <v>296.195652173913</v>
      </c>
      <c r="K48" s="85">
        <f>32300/K44</f>
        <v>294.06409322651126</v>
      </c>
      <c r="L48" s="85"/>
    </row>
    <row r="49" spans="1:13" ht="31.15" customHeight="1" x14ac:dyDescent="0.25">
      <c r="A49" s="56"/>
      <c r="B49" s="57" t="s">
        <v>148</v>
      </c>
      <c r="C49" s="52" t="s">
        <v>7</v>
      </c>
      <c r="D49" s="85"/>
      <c r="E49" s="60">
        <f>E48/E45</f>
        <v>4.2093056194893952E-2</v>
      </c>
      <c r="F49" s="60">
        <f t="shared" ref="F49:K49" si="4">F48/F45</f>
        <v>4.7777394063338065E-2</v>
      </c>
      <c r="G49" s="60">
        <f t="shared" si="4"/>
        <v>4.3027068717319816E-2</v>
      </c>
      <c r="H49" s="60">
        <f t="shared" si="4"/>
        <v>4.0988578521678747E-2</v>
      </c>
      <c r="I49" s="60">
        <f t="shared" si="4"/>
        <v>4.0389061852119955E-2</v>
      </c>
      <c r="J49" s="60">
        <f t="shared" si="4"/>
        <v>3.9090891702689257E-2</v>
      </c>
      <c r="K49" s="60">
        <f t="shared" si="4"/>
        <v>3.4880305478043765E-2</v>
      </c>
      <c r="L49" s="60"/>
    </row>
    <row r="50" spans="1:13" ht="35.450000000000003" customHeight="1" x14ac:dyDescent="0.25">
      <c r="A50" s="56"/>
      <c r="B50" s="57" t="s">
        <v>149</v>
      </c>
      <c r="C50" s="52" t="s">
        <v>146</v>
      </c>
      <c r="D50" s="85"/>
      <c r="E50" s="85">
        <v>327.70085470085468</v>
      </c>
      <c r="F50" s="85">
        <v>424.93105350248209</v>
      </c>
      <c r="G50" s="85">
        <v>397.73537803138373</v>
      </c>
      <c r="H50" s="85">
        <v>566</v>
      </c>
      <c r="I50" s="85">
        <f>68622/I44</f>
        <v>628.75206157229252</v>
      </c>
      <c r="J50" s="85">
        <f>60300/J44</f>
        <v>546.195652173913</v>
      </c>
      <c r="K50" s="85">
        <f>208000/K44</f>
        <v>1893.6635105608157</v>
      </c>
      <c r="L50" s="85"/>
      <c r="M50" s="182"/>
    </row>
    <row r="51" spans="1:13" ht="35.450000000000003" customHeight="1" x14ac:dyDescent="0.25">
      <c r="A51" s="56"/>
      <c r="B51" s="57" t="s">
        <v>149</v>
      </c>
      <c r="C51" s="56" t="s">
        <v>7</v>
      </c>
      <c r="D51" s="85"/>
      <c r="E51" s="60">
        <f>E50/E45</f>
        <v>4.8487002180214178E-2</v>
      </c>
      <c r="F51" s="60">
        <f t="shared" ref="F51:K51" si="5">F50/F45</f>
        <v>6.2355994668767505E-2</v>
      </c>
      <c r="G51" s="60">
        <f t="shared" si="5"/>
        <v>5.342604546663058E-2</v>
      </c>
      <c r="H51" s="60">
        <f t="shared" si="5"/>
        <v>7.0703103459529654E-2</v>
      </c>
      <c r="I51" s="60">
        <f t="shared" si="5"/>
        <v>8.0377536175864961E-2</v>
      </c>
      <c r="J51" s="60">
        <f t="shared" si="5"/>
        <v>7.2085038827894882E-2</v>
      </c>
      <c r="K51" s="60">
        <f t="shared" si="5"/>
        <v>0.22461620865117968</v>
      </c>
      <c r="L51" s="60"/>
    </row>
    <row r="52" spans="1:13" x14ac:dyDescent="0.25">
      <c r="F52" s="74"/>
      <c r="G52" s="74"/>
      <c r="H52" s="74"/>
      <c r="I52" s="74"/>
      <c r="J52" s="74"/>
      <c r="K52" s="74"/>
      <c r="L52" s="74"/>
      <c r="M52" s="52"/>
    </row>
    <row r="53" spans="1:13" x14ac:dyDescent="0.25">
      <c r="M53" s="85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8BCE-F301-46F0-B5F2-4508C4C19155}">
  <sheetPr>
    <tabColor theme="5" tint="-0.249977111117893"/>
  </sheetPr>
  <dimension ref="A4:S25"/>
  <sheetViews>
    <sheetView view="pageBreakPreview" zoomScaleNormal="100" zoomScaleSheetLayoutView="100" workbookViewId="0">
      <pane xSplit="3" ySplit="4" topLeftCell="H8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85546875" defaultRowHeight="15" outlineLevelRow="1" x14ac:dyDescent="0.25"/>
  <cols>
    <col min="1" max="1" width="8.85546875" style="1"/>
    <col min="2" max="2" width="40" style="1" customWidth="1"/>
    <col min="3" max="3" width="17.28515625" style="1" customWidth="1"/>
    <col min="4" max="15" width="10.7109375" style="1" customWidth="1"/>
    <col min="16" max="16" width="10.7109375" style="105" customWidth="1"/>
    <col min="17" max="19" width="10.7109375" style="189" customWidth="1"/>
    <col min="20" max="16384" width="8.85546875" style="1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19" ht="25.15" customHeight="1" thickTop="1" x14ac:dyDescent="0.25">
      <c r="A5" s="196" t="s">
        <v>23</v>
      </c>
      <c r="B5" s="196"/>
    </row>
    <row r="6" spans="1:19" ht="25.15" customHeight="1" outlineLevel="1" x14ac:dyDescent="0.25">
      <c r="A6" s="3" t="s">
        <v>6</v>
      </c>
      <c r="B6" s="2" t="s">
        <v>58</v>
      </c>
      <c r="C6" s="1" t="s">
        <v>5</v>
      </c>
      <c r="D6" s="7">
        <f>D13+D19</f>
        <v>2236.1</v>
      </c>
      <c r="E6" s="7">
        <f t="shared" ref="E6:P6" si="4">E13+E19</f>
        <v>2284.6000000000004</v>
      </c>
      <c r="F6" s="7">
        <f t="shared" si="4"/>
        <v>2358.1</v>
      </c>
      <c r="G6" s="7">
        <f t="shared" si="4"/>
        <v>2491.6</v>
      </c>
      <c r="H6" s="7">
        <f t="shared" si="4"/>
        <v>2674.7999999999997</v>
      </c>
      <c r="I6" s="7">
        <f t="shared" si="4"/>
        <v>2127.8000000000002</v>
      </c>
      <c r="J6" s="7">
        <f t="shared" si="4"/>
        <v>2822</v>
      </c>
      <c r="K6" s="7">
        <f t="shared" si="4"/>
        <v>3218.2000000000003</v>
      </c>
      <c r="L6" s="7">
        <f t="shared" si="4"/>
        <v>3439.6000000000004</v>
      </c>
      <c r="M6" s="7">
        <f t="shared" si="4"/>
        <v>3653.5</v>
      </c>
      <c r="N6" s="7">
        <f t="shared" si="4"/>
        <v>4041.4</v>
      </c>
      <c r="O6" s="7">
        <f t="shared" si="4"/>
        <v>4261.7</v>
      </c>
      <c r="P6" s="7">
        <f t="shared" si="4"/>
        <v>4541.3</v>
      </c>
      <c r="Q6" s="7">
        <f>P6*(1+$K$7)</f>
        <v>4865.1207632821652</v>
      </c>
      <c r="R6" s="7">
        <f t="shared" ref="R6:S6" si="5">Q6*(1+$K$7)</f>
        <v>5212.0318061610633</v>
      </c>
      <c r="S6" s="7">
        <f t="shared" si="5"/>
        <v>5583.6795981417736</v>
      </c>
    </row>
    <row r="7" spans="1:19" ht="25.15" customHeight="1" outlineLevel="1" x14ac:dyDescent="0.25">
      <c r="A7" s="3" t="s">
        <v>24</v>
      </c>
      <c r="B7" s="2" t="s">
        <v>19</v>
      </c>
      <c r="C7" s="1" t="s">
        <v>7</v>
      </c>
      <c r="D7" s="191">
        <f>(J6/D6)^(1/6)-1</f>
        <v>3.9547403410938209E-2</v>
      </c>
      <c r="E7" s="191"/>
      <c r="F7" s="191"/>
      <c r="G7" s="191"/>
      <c r="H7" s="191"/>
      <c r="I7" s="191"/>
      <c r="J7" s="191"/>
      <c r="K7" s="194">
        <f>(P6/K6)^(1/5)-1</f>
        <v>7.1305741369688258E-2</v>
      </c>
      <c r="L7" s="194"/>
      <c r="M7" s="194"/>
      <c r="N7" s="194"/>
      <c r="O7" s="194"/>
      <c r="P7" s="194"/>
      <c r="Q7" s="187"/>
      <c r="R7" s="187"/>
      <c r="S7" s="187"/>
    </row>
    <row r="8" spans="1:19" s="9" customFormat="1" ht="25.15" customHeight="1" outlineLevel="1" x14ac:dyDescent="0.25">
      <c r="A8" s="14" t="s">
        <v>25</v>
      </c>
      <c r="B8" s="10" t="s">
        <v>58</v>
      </c>
      <c r="C8" s="9" t="s">
        <v>10</v>
      </c>
      <c r="D8" s="12">
        <f>D15+D21</f>
        <v>68.312160000000006</v>
      </c>
      <c r="E8" s="12">
        <f>E15+E21</f>
        <v>72.167760000000001</v>
      </c>
      <c r="F8" s="12">
        <f t="shared" ref="F8:P8" si="6">F15+F21</f>
        <v>74.934719999999999</v>
      </c>
      <c r="G8" s="12">
        <f t="shared" si="6"/>
        <v>80.24184000000001</v>
      </c>
      <c r="H8" s="12">
        <f t="shared" si="6"/>
        <v>87.091200000000001</v>
      </c>
      <c r="I8" s="12">
        <f t="shared" si="6"/>
        <v>78.654240000000016</v>
      </c>
      <c r="J8" s="12">
        <f t="shared" si="6"/>
        <v>79.652159999999995</v>
      </c>
      <c r="K8" s="12">
        <f t="shared" si="6"/>
        <v>87.680880000000002</v>
      </c>
      <c r="L8" s="12">
        <f t="shared" si="6"/>
        <v>93.804479999999998</v>
      </c>
      <c r="M8" s="12">
        <f t="shared" si="6"/>
        <v>99.247680000000003</v>
      </c>
      <c r="N8" s="12">
        <f t="shared" si="6"/>
        <v>110.49696</v>
      </c>
      <c r="O8" s="12">
        <f t="shared" si="6"/>
        <v>116.07624000000001</v>
      </c>
      <c r="P8" s="12">
        <f t="shared" si="6"/>
        <v>124.19568</v>
      </c>
      <c r="Q8" s="12">
        <f>P8*(1+$J$9)</f>
        <v>133.91081232345249</v>
      </c>
      <c r="R8" s="12">
        <f t="shared" ref="R8:S8" si="7">Q8*(1+$J$9)</f>
        <v>144.38590502605982</v>
      </c>
      <c r="S8" s="12">
        <f t="shared" si="7"/>
        <v>155.68040555111526</v>
      </c>
    </row>
    <row r="9" spans="1:19" ht="25.15" customHeight="1" outlineLevel="1" x14ac:dyDescent="0.25">
      <c r="A9" s="3" t="s">
        <v>26</v>
      </c>
      <c r="B9" s="2" t="s">
        <v>16</v>
      </c>
      <c r="C9" s="1" t="s">
        <v>7</v>
      </c>
      <c r="D9" s="191">
        <f>(I8/D8)^(1/5)-1</f>
        <v>2.859598377480288E-2</v>
      </c>
      <c r="E9" s="191"/>
      <c r="F9" s="191"/>
      <c r="G9" s="191"/>
      <c r="H9" s="191"/>
      <c r="I9" s="191"/>
      <c r="J9" s="194">
        <f>(O8/J8)^(1/5)-1</f>
        <v>7.8224398171115928E-2</v>
      </c>
      <c r="K9" s="194"/>
      <c r="L9" s="194"/>
      <c r="M9" s="194"/>
      <c r="N9" s="194"/>
      <c r="O9" s="194"/>
      <c r="P9" s="106"/>
      <c r="Q9" s="187"/>
      <c r="R9" s="187"/>
      <c r="S9" s="187"/>
    </row>
    <row r="10" spans="1:19" s="9" customFormat="1" ht="25.15" customHeight="1" outlineLevel="1" x14ac:dyDescent="0.25">
      <c r="A10" s="14" t="s">
        <v>27</v>
      </c>
      <c r="B10" s="10" t="s">
        <v>59</v>
      </c>
      <c r="C10" s="9" t="s">
        <v>21</v>
      </c>
      <c r="D10" s="12">
        <f>D6/D8</f>
        <v>32.733557246616115</v>
      </c>
      <c r="E10" s="12">
        <f t="shared" ref="E10:S10" si="8">E6/E8</f>
        <v>31.6567952226867</v>
      </c>
      <c r="F10" s="12">
        <f t="shared" si="8"/>
        <v>31.468723710450909</v>
      </c>
      <c r="G10" s="12">
        <f t="shared" si="8"/>
        <v>31.051132426674158</v>
      </c>
      <c r="H10" s="12">
        <f t="shared" si="8"/>
        <v>30.712632275132272</v>
      </c>
      <c r="I10" s="12">
        <f t="shared" si="8"/>
        <v>27.05257847510827</v>
      </c>
      <c r="J10" s="12">
        <f t="shared" si="8"/>
        <v>35.429045489789608</v>
      </c>
      <c r="K10" s="12">
        <f t="shared" si="8"/>
        <v>36.703554982568605</v>
      </c>
      <c r="L10" s="12">
        <f t="shared" si="8"/>
        <v>36.667758298963975</v>
      </c>
      <c r="M10" s="12">
        <f t="shared" si="8"/>
        <v>36.811943614198334</v>
      </c>
      <c r="N10" s="12">
        <f t="shared" si="8"/>
        <v>36.574761875801833</v>
      </c>
      <c r="O10" s="12">
        <f t="shared" si="8"/>
        <v>36.714662707889225</v>
      </c>
      <c r="P10" s="12">
        <f t="shared" si="8"/>
        <v>36.565684088206616</v>
      </c>
      <c r="Q10" s="12">
        <f t="shared" si="8"/>
        <v>36.331052577971043</v>
      </c>
      <c r="R10" s="12">
        <f t="shared" si="8"/>
        <v>36.09792663086025</v>
      </c>
      <c r="S10" s="12">
        <f t="shared" si="8"/>
        <v>35.866296586107353</v>
      </c>
    </row>
    <row r="11" spans="1:19" s="9" customFormat="1" ht="25.15" customHeight="1" x14ac:dyDescent="0.25">
      <c r="A11" s="14"/>
      <c r="B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s="9" customFormat="1" ht="25.15" customHeight="1" x14ac:dyDescent="0.25">
      <c r="A12" s="197" t="s">
        <v>60</v>
      </c>
      <c r="B12" s="19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9" customFormat="1" ht="25.15" customHeight="1" outlineLevel="1" x14ac:dyDescent="0.25">
      <c r="A13" s="14" t="s">
        <v>9</v>
      </c>
      <c r="B13" s="2" t="s">
        <v>58</v>
      </c>
      <c r="C13" s="1" t="s">
        <v>5</v>
      </c>
      <c r="D13" s="7">
        <v>2038.4</v>
      </c>
      <c r="E13" s="7">
        <v>2081.8000000000002</v>
      </c>
      <c r="F13" s="7">
        <v>2149.1999999999998</v>
      </c>
      <c r="G13" s="7">
        <v>2272</v>
      </c>
      <c r="H13" s="7">
        <v>2442.1999999999998</v>
      </c>
      <c r="I13" s="7">
        <v>1947.7</v>
      </c>
      <c r="J13" s="46">
        <v>2566.1</v>
      </c>
      <c r="K13" s="46">
        <v>2926.9</v>
      </c>
      <c r="L13" s="46">
        <v>3133.3</v>
      </c>
      <c r="M13" s="46">
        <v>3329.8</v>
      </c>
      <c r="N13" s="46">
        <v>3682.8</v>
      </c>
      <c r="O13" s="46">
        <v>3887.6</v>
      </c>
      <c r="P13" s="46">
        <v>4144</v>
      </c>
      <c r="Q13" s="46">
        <f>P13*(1+$K$14)</f>
        <v>4442.4456081909311</v>
      </c>
      <c r="R13" s="46">
        <f t="shared" ref="R13:S13" si="9">Q13*(1+$K$14)</f>
        <v>4762.3848894147905</v>
      </c>
      <c r="S13" s="46">
        <f t="shared" si="9"/>
        <v>5105.3657906601329</v>
      </c>
    </row>
    <row r="14" spans="1:19" ht="25.15" customHeight="1" outlineLevel="1" x14ac:dyDescent="0.25">
      <c r="A14" s="3" t="s">
        <v>29</v>
      </c>
      <c r="B14" s="2" t="s">
        <v>19</v>
      </c>
      <c r="C14" s="1" t="s">
        <v>7</v>
      </c>
      <c r="D14" s="191">
        <f>(J13/D13)^(1/6)-1</f>
        <v>3.9115989610410518E-2</v>
      </c>
      <c r="E14" s="191"/>
      <c r="F14" s="191"/>
      <c r="G14" s="191"/>
      <c r="H14" s="191"/>
      <c r="I14" s="191"/>
      <c r="J14" s="191"/>
      <c r="K14" s="194">
        <f>(P13/K13)^(1/5)-1</f>
        <v>7.2018727845301944E-2</v>
      </c>
      <c r="L14" s="194"/>
      <c r="M14" s="194"/>
      <c r="N14" s="194"/>
      <c r="O14" s="194"/>
      <c r="P14" s="194"/>
      <c r="Q14" s="187"/>
      <c r="R14" s="187"/>
      <c r="S14" s="187"/>
    </row>
    <row r="15" spans="1:19" s="9" customFormat="1" ht="25.15" customHeight="1" outlineLevel="1" x14ac:dyDescent="0.25">
      <c r="A15" s="14" t="s">
        <v>30</v>
      </c>
      <c r="B15" s="10" t="s">
        <v>58</v>
      </c>
      <c r="C15" s="1" t="s">
        <v>10</v>
      </c>
      <c r="D15" s="12">
        <f>144.4*B25</f>
        <v>65.499840000000006</v>
      </c>
      <c r="E15" s="12">
        <f>152.6*B25</f>
        <v>69.219359999999995</v>
      </c>
      <c r="F15" s="12">
        <f>158.5*B25</f>
        <v>71.895600000000002</v>
      </c>
      <c r="G15" s="12">
        <f>169.9*B25</f>
        <v>77.066640000000007</v>
      </c>
      <c r="H15" s="12">
        <f>184.5*B25</f>
        <v>83.6892</v>
      </c>
      <c r="I15" s="12">
        <f>166.9*B25</f>
        <v>75.705840000000009</v>
      </c>
      <c r="J15" s="12">
        <f>169*B25</f>
        <v>76.6584</v>
      </c>
      <c r="K15" s="12">
        <f>186.2*B25</f>
        <v>84.460319999999996</v>
      </c>
      <c r="L15" s="12">
        <f>199.4*B25</f>
        <v>90.447839999999999</v>
      </c>
      <c r="M15" s="12">
        <f>210.9*B25</f>
        <v>95.664240000000007</v>
      </c>
      <c r="N15" s="12">
        <f>234.9*B25</f>
        <v>106.55064</v>
      </c>
      <c r="O15" s="12">
        <f>246.9*B25</f>
        <v>111.99384000000001</v>
      </c>
      <c r="P15" s="12">
        <f>264.2*'УВ регионы мира'!B33</f>
        <v>119.84111999999999</v>
      </c>
      <c r="Q15" s="12">
        <f>P15*(1+$K$16)</f>
        <v>128.52762618164007</v>
      </c>
      <c r="R15" s="12">
        <f t="shared" ref="R15:S15" si="10">Q15*(1+$K$16)</f>
        <v>137.84376090516687</v>
      </c>
      <c r="S15" s="12">
        <f t="shared" si="10"/>
        <v>147.835161863396</v>
      </c>
    </row>
    <row r="16" spans="1:19" s="9" customFormat="1" ht="25.15" customHeight="1" outlineLevel="1" x14ac:dyDescent="0.25">
      <c r="A16" s="14" t="s">
        <v>31</v>
      </c>
      <c r="B16" s="2" t="s">
        <v>16</v>
      </c>
      <c r="C16" s="1" t="s">
        <v>7</v>
      </c>
      <c r="D16" s="191">
        <f>(J15/D15)^(1/6)-1</f>
        <v>2.6565312045803591E-2</v>
      </c>
      <c r="E16" s="191"/>
      <c r="F16" s="191"/>
      <c r="G16" s="191"/>
      <c r="H16" s="191"/>
      <c r="I16" s="191"/>
      <c r="J16" s="191"/>
      <c r="K16" s="194">
        <f>(P15/K15)^(1/5)-1</f>
        <v>7.2483519693741894E-2</v>
      </c>
      <c r="L16" s="194"/>
      <c r="M16" s="194"/>
      <c r="N16" s="194"/>
      <c r="O16" s="194"/>
      <c r="P16" s="194"/>
      <c r="Q16" s="187"/>
      <c r="R16" s="187"/>
      <c r="S16" s="187"/>
    </row>
    <row r="17" spans="1:19" s="9" customFormat="1" ht="25.15" customHeight="1" x14ac:dyDescent="0.25">
      <c r="A17" s="14"/>
      <c r="B17" s="10"/>
      <c r="C17" s="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9" customFormat="1" ht="25.15" customHeight="1" x14ac:dyDescent="0.25">
      <c r="A18" s="197" t="s">
        <v>61</v>
      </c>
      <c r="B18" s="197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9" customFormat="1" ht="25.15" customHeight="1" outlineLevel="1" x14ac:dyDescent="0.25">
      <c r="A19" s="14" t="s">
        <v>12</v>
      </c>
      <c r="B19" s="2" t="s">
        <v>59</v>
      </c>
      <c r="C19" s="1" t="s">
        <v>5</v>
      </c>
      <c r="D19" s="12">
        <v>197.7</v>
      </c>
      <c r="E19" s="12">
        <v>202.8</v>
      </c>
      <c r="F19" s="12">
        <v>208.9</v>
      </c>
      <c r="G19" s="12">
        <v>219.6</v>
      </c>
      <c r="H19" s="12">
        <v>232.6</v>
      </c>
      <c r="I19" s="12">
        <v>180.1</v>
      </c>
      <c r="J19" s="12">
        <v>255.9</v>
      </c>
      <c r="K19" s="12">
        <v>291.3</v>
      </c>
      <c r="L19" s="12">
        <v>306.3</v>
      </c>
      <c r="M19" s="12">
        <v>323.7</v>
      </c>
      <c r="N19" s="12">
        <v>358.6</v>
      </c>
      <c r="O19" s="12">
        <v>374.1</v>
      </c>
      <c r="P19" s="12">
        <v>397.3</v>
      </c>
      <c r="Q19" s="12">
        <f>P19*(1+$K$20)</f>
        <v>422.7408157769168</v>
      </c>
      <c r="R19" s="12">
        <f t="shared" ref="R19:S19" si="11">Q19*(1+$K$20)</f>
        <v>449.81071563990213</v>
      </c>
      <c r="S19" s="12">
        <f t="shared" si="11"/>
        <v>478.61401680043036</v>
      </c>
    </row>
    <row r="20" spans="1:19" ht="25.15" customHeight="1" outlineLevel="1" x14ac:dyDescent="0.25">
      <c r="A20" s="3" t="s">
        <v>33</v>
      </c>
      <c r="B20" s="2" t="s">
        <v>19</v>
      </c>
      <c r="C20" s="1" t="s">
        <v>7</v>
      </c>
      <c r="D20" s="191">
        <f>(J19/D19)^(1/6)-1</f>
        <v>4.3944160756767658E-2</v>
      </c>
      <c r="E20" s="191"/>
      <c r="F20" s="191"/>
      <c r="G20" s="191"/>
      <c r="H20" s="191"/>
      <c r="I20" s="191"/>
      <c r="J20" s="191"/>
      <c r="K20" s="194">
        <f>(P19/K19)^(1/5)-1</f>
        <v>6.4034270769989465E-2</v>
      </c>
      <c r="L20" s="194"/>
      <c r="M20" s="194"/>
      <c r="N20" s="194"/>
      <c r="O20" s="194"/>
      <c r="P20" s="194"/>
      <c r="Q20" s="187"/>
      <c r="R20" s="187"/>
      <c r="S20" s="187"/>
    </row>
    <row r="21" spans="1:19" ht="25.15" customHeight="1" outlineLevel="1" x14ac:dyDescent="0.25">
      <c r="A21" s="3" t="s">
        <v>34</v>
      </c>
      <c r="B21" s="10" t="s">
        <v>58</v>
      </c>
      <c r="C21" s="1" t="s">
        <v>10</v>
      </c>
      <c r="D21" s="12">
        <f>6.2*B25</f>
        <v>2.8123200000000002</v>
      </c>
      <c r="E21" s="12">
        <f>6.5*B25</f>
        <v>2.9483999999999999</v>
      </c>
      <c r="F21" s="12">
        <f>6.7*B25</f>
        <v>3.03912</v>
      </c>
      <c r="G21" s="12">
        <f>7*B25</f>
        <v>3.1752000000000002</v>
      </c>
      <c r="H21" s="12">
        <f>7.5*B25</f>
        <v>3.4020000000000001</v>
      </c>
      <c r="I21" s="12">
        <f>6.5*B25</f>
        <v>2.9483999999999999</v>
      </c>
      <c r="J21" s="12">
        <f>6.6*B25</f>
        <v>2.99376</v>
      </c>
      <c r="K21" s="12">
        <f>7.1*B25</f>
        <v>3.2205599999999999</v>
      </c>
      <c r="L21" s="12">
        <f>7.4*B25</f>
        <v>3.3566400000000001</v>
      </c>
      <c r="M21" s="12">
        <f>7.9*B25</f>
        <v>3.5834400000000004</v>
      </c>
      <c r="N21" s="12">
        <f>8.7*B25</f>
        <v>3.9463199999999996</v>
      </c>
      <c r="O21" s="12">
        <f>9*B25</f>
        <v>4.0823999999999998</v>
      </c>
      <c r="P21" s="12">
        <f>9.6*B25</f>
        <v>4.3545600000000002</v>
      </c>
      <c r="Q21" s="12">
        <f>P21*(1+$K$22)</f>
        <v>4.6253740103175147</v>
      </c>
      <c r="R21" s="12">
        <f t="shared" ref="R21:S21" si="12">Q21*(1+$K$22)</f>
        <v>4.9130301879686415</v>
      </c>
      <c r="S21" s="12">
        <f t="shared" si="12"/>
        <v>5.2185759625164261</v>
      </c>
    </row>
    <row r="22" spans="1:19" s="9" customFormat="1" ht="25.15" customHeight="1" outlineLevel="1" x14ac:dyDescent="0.25">
      <c r="A22" s="14" t="s">
        <v>35</v>
      </c>
      <c r="B22" s="2" t="s">
        <v>16</v>
      </c>
      <c r="C22" s="1" t="s">
        <v>7</v>
      </c>
      <c r="D22" s="191">
        <f>(J21/D21)^(1/6)-1</f>
        <v>1.0474537373331039E-2</v>
      </c>
      <c r="E22" s="191"/>
      <c r="F22" s="191"/>
      <c r="G22" s="191"/>
      <c r="H22" s="191"/>
      <c r="I22" s="191"/>
      <c r="J22" s="191"/>
      <c r="K22" s="194">
        <f>(P21/K21)^(1/5)-1</f>
        <v>6.2190901105396268E-2</v>
      </c>
      <c r="L22" s="194"/>
      <c r="M22" s="194"/>
      <c r="N22" s="194"/>
      <c r="O22" s="194"/>
      <c r="P22" s="194"/>
      <c r="Q22" s="187"/>
      <c r="R22" s="187"/>
      <c r="S22" s="187"/>
    </row>
    <row r="23" spans="1:19" s="9" customFormat="1" ht="25.15" customHeight="1" x14ac:dyDescent="0.25">
      <c r="A23" s="14"/>
      <c r="B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5" spans="1:19" ht="30" x14ac:dyDescent="0.25">
      <c r="A25" s="1" t="s">
        <v>3</v>
      </c>
      <c r="B25" s="2">
        <v>0.4536</v>
      </c>
    </row>
  </sheetData>
  <mergeCells count="15">
    <mergeCell ref="A5:B5"/>
    <mergeCell ref="D9:I9"/>
    <mergeCell ref="J9:O9"/>
    <mergeCell ref="K7:P7"/>
    <mergeCell ref="D7:J7"/>
    <mergeCell ref="A12:B12"/>
    <mergeCell ref="K14:P14"/>
    <mergeCell ref="D14:J14"/>
    <mergeCell ref="K16:P16"/>
    <mergeCell ref="D16:J16"/>
    <mergeCell ref="A18:B18"/>
    <mergeCell ref="K20:P20"/>
    <mergeCell ref="D20:J20"/>
    <mergeCell ref="K22:P22"/>
    <mergeCell ref="D22:J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286D-5BA7-477C-8355-9EFB3574BE7B}">
  <dimension ref="B1:L127"/>
  <sheetViews>
    <sheetView workbookViewId="0">
      <selection activeCell="P20" sqref="P20"/>
    </sheetView>
  </sheetViews>
  <sheetFormatPr defaultColWidth="8.85546875" defaultRowHeight="12" outlineLevelRow="2" x14ac:dyDescent="0.25"/>
  <cols>
    <col min="1" max="1" width="8.85546875" style="315"/>
    <col min="2" max="2" width="8.7109375" style="316" customWidth="1"/>
    <col min="3" max="3" width="31.140625" style="315" customWidth="1"/>
    <col min="4" max="4" width="13.85546875" style="315" customWidth="1"/>
    <col min="5" max="5" width="6.7109375" style="315" customWidth="1"/>
    <col min="6" max="6" width="5.7109375" style="315" customWidth="1"/>
    <col min="7" max="8" width="15.42578125" style="316" customWidth="1"/>
    <col min="9" max="9" width="18.85546875" style="316" customWidth="1"/>
    <col min="10" max="16384" width="8.85546875" style="315"/>
  </cols>
  <sheetData>
    <row r="1" spans="2:11" ht="21.6" customHeight="1" x14ac:dyDescent="0.25">
      <c r="B1" s="314" t="s">
        <v>274</v>
      </c>
    </row>
    <row r="3" spans="2:11" ht="21.6" customHeight="1" thickBot="1" x14ac:dyDescent="0.3">
      <c r="B3" s="317" t="s">
        <v>0</v>
      </c>
      <c r="C3" s="317" t="s">
        <v>275</v>
      </c>
      <c r="D3" s="317" t="s">
        <v>276</v>
      </c>
      <c r="G3" s="317">
        <v>2019</v>
      </c>
      <c r="H3" s="317">
        <v>2020</v>
      </c>
      <c r="I3" s="317">
        <v>2021</v>
      </c>
    </row>
    <row r="4" spans="2:11" ht="12" customHeight="1" x14ac:dyDescent="0.25"/>
    <row r="5" spans="2:11" ht="15.6" customHeight="1" x14ac:dyDescent="0.25"/>
    <row r="6" spans="2:11" ht="21.6" customHeight="1" x14ac:dyDescent="0.25">
      <c r="B6" s="318" t="s">
        <v>277</v>
      </c>
      <c r="C6" s="319" t="s">
        <v>278</v>
      </c>
      <c r="D6" s="320"/>
      <c r="E6" s="320"/>
      <c r="F6" s="320"/>
      <c r="G6" s="321"/>
      <c r="H6" s="321"/>
      <c r="I6" s="321"/>
    </row>
    <row r="7" spans="2:11" ht="21" customHeight="1" x14ac:dyDescent="0.25"/>
    <row r="8" spans="2:11" ht="21" customHeight="1" x14ac:dyDescent="0.25">
      <c r="B8" s="322" t="s">
        <v>186</v>
      </c>
      <c r="C8" s="323" t="s">
        <v>279</v>
      </c>
      <c r="D8" s="324"/>
      <c r="E8" s="324"/>
      <c r="F8" s="324"/>
      <c r="G8" s="325"/>
      <c r="H8" s="325"/>
      <c r="I8" s="325"/>
    </row>
    <row r="9" spans="2:11" ht="21" customHeight="1" x14ac:dyDescent="0.25"/>
    <row r="10" spans="2:11" ht="21" customHeight="1" x14ac:dyDescent="0.25">
      <c r="B10" s="326" t="s">
        <v>280</v>
      </c>
      <c r="C10" s="327" t="s">
        <v>281</v>
      </c>
      <c r="D10" s="328"/>
      <c r="E10" s="328"/>
      <c r="F10" s="328"/>
      <c r="G10" s="329"/>
      <c r="H10" s="329"/>
      <c r="I10" s="329"/>
    </row>
    <row r="11" spans="2:11" ht="21" customHeight="1" outlineLevel="1" x14ac:dyDescent="0.25"/>
    <row r="12" spans="2:11" ht="21.6" customHeight="1" outlineLevel="1" x14ac:dyDescent="0.25">
      <c r="B12" s="330"/>
      <c r="C12" s="331" t="s">
        <v>282</v>
      </c>
      <c r="D12" s="330" t="s">
        <v>283</v>
      </c>
      <c r="E12" s="331"/>
      <c r="F12" s="331"/>
      <c r="G12" s="332">
        <v>821.4</v>
      </c>
      <c r="H12" s="332">
        <v>1087.4000000000001</v>
      </c>
      <c r="I12" s="332">
        <v>1050</v>
      </c>
      <c r="J12" s="331"/>
      <c r="K12" s="331"/>
    </row>
    <row r="13" spans="2:11" ht="21.6" customHeight="1" outlineLevel="1" x14ac:dyDescent="0.25">
      <c r="B13" s="330"/>
      <c r="C13" s="331" t="s">
        <v>284</v>
      </c>
      <c r="D13" s="330" t="s">
        <v>283</v>
      </c>
      <c r="E13" s="331"/>
      <c r="F13" s="331"/>
      <c r="G13" s="332">
        <v>68.4191</v>
      </c>
      <c r="H13" s="332">
        <v>211.74710000000002</v>
      </c>
      <c r="I13" s="330">
        <v>231</v>
      </c>
      <c r="J13" s="331"/>
      <c r="K13" s="331"/>
    </row>
    <row r="14" spans="2:11" ht="21.6" customHeight="1" outlineLevel="1" x14ac:dyDescent="0.25">
      <c r="B14" s="330"/>
      <c r="C14" s="331" t="s">
        <v>285</v>
      </c>
      <c r="D14" s="330" t="s">
        <v>283</v>
      </c>
      <c r="E14" s="331"/>
      <c r="F14" s="331"/>
      <c r="G14" s="330">
        <v>28</v>
      </c>
      <c r="H14" s="330">
        <v>30</v>
      </c>
      <c r="I14" s="330">
        <v>26</v>
      </c>
      <c r="J14" s="331"/>
      <c r="K14" s="331"/>
    </row>
    <row r="15" spans="2:11" ht="21.6" customHeight="1" outlineLevel="1" x14ac:dyDescent="0.25">
      <c r="B15" s="330"/>
      <c r="C15" s="333" t="s">
        <v>286</v>
      </c>
      <c r="D15" s="334" t="s">
        <v>283</v>
      </c>
      <c r="E15" s="331"/>
      <c r="F15" s="331"/>
      <c r="G15" s="334">
        <v>918</v>
      </c>
      <c r="H15" s="334">
        <v>1329</v>
      </c>
      <c r="I15" s="334">
        <v>1307</v>
      </c>
      <c r="J15" s="331"/>
      <c r="K15" s="331"/>
    </row>
    <row r="16" spans="2:11" ht="21.6" customHeight="1" x14ac:dyDescent="0.25">
      <c r="B16" s="330"/>
      <c r="C16" s="331"/>
      <c r="D16" s="331"/>
      <c r="E16" s="331"/>
      <c r="F16" s="331"/>
      <c r="G16" s="330"/>
      <c r="H16" s="330"/>
      <c r="I16" s="330"/>
    </row>
    <row r="17" spans="2:11" ht="21.6" customHeight="1" x14ac:dyDescent="0.25">
      <c r="B17" s="326" t="s">
        <v>287</v>
      </c>
      <c r="C17" s="327" t="s">
        <v>288</v>
      </c>
      <c r="D17" s="328"/>
      <c r="E17" s="328"/>
      <c r="F17" s="328"/>
      <c r="G17" s="329"/>
      <c r="H17" s="329"/>
      <c r="I17" s="329"/>
    </row>
    <row r="18" spans="2:11" ht="21.6" customHeight="1" outlineLevel="1" x14ac:dyDescent="0.25">
      <c r="B18" s="330"/>
      <c r="C18" s="331"/>
      <c r="D18" s="331"/>
      <c r="E18" s="331"/>
      <c r="F18" s="331"/>
      <c r="G18" s="330"/>
      <c r="H18" s="330"/>
      <c r="I18" s="330"/>
    </row>
    <row r="19" spans="2:11" ht="21.6" customHeight="1" outlineLevel="1" x14ac:dyDescent="0.25">
      <c r="B19" s="330"/>
      <c r="C19" s="335" t="s">
        <v>289</v>
      </c>
      <c r="D19" s="330" t="s">
        <v>283</v>
      </c>
      <c r="E19" s="331"/>
      <c r="F19" s="331"/>
      <c r="G19" s="330">
        <v>68.900000000000006</v>
      </c>
      <c r="H19" s="330">
        <v>61.4</v>
      </c>
      <c r="I19" s="330">
        <v>84.6</v>
      </c>
      <c r="J19" s="331"/>
      <c r="K19" s="331"/>
    </row>
    <row r="20" spans="2:11" ht="21.6" customHeight="1" outlineLevel="1" x14ac:dyDescent="0.25">
      <c r="B20" s="330"/>
      <c r="C20" s="335" t="s">
        <v>290</v>
      </c>
      <c r="D20" s="330" t="s">
        <v>283</v>
      </c>
      <c r="E20" s="331"/>
      <c r="F20" s="331"/>
      <c r="G20" s="330">
        <v>28.5</v>
      </c>
      <c r="H20" s="330">
        <v>47.6</v>
      </c>
      <c r="I20" s="330">
        <v>80.400000000000006</v>
      </c>
      <c r="J20" s="331"/>
      <c r="K20" s="331"/>
    </row>
    <row r="21" spans="2:11" ht="21.6" customHeight="1" outlineLevel="1" x14ac:dyDescent="0.25">
      <c r="B21" s="330"/>
      <c r="C21" s="335" t="s">
        <v>291</v>
      </c>
      <c r="D21" s="330" t="s">
        <v>283</v>
      </c>
      <c r="E21" s="331"/>
      <c r="F21" s="331"/>
      <c r="G21" s="336">
        <v>38.393916514200001</v>
      </c>
      <c r="H21" s="336">
        <v>9.5810419200000023</v>
      </c>
      <c r="I21" s="336">
        <v>69.33060433</v>
      </c>
      <c r="J21" s="331"/>
      <c r="K21" s="331"/>
    </row>
    <row r="22" spans="2:11" ht="21.6" customHeight="1" outlineLevel="1" x14ac:dyDescent="0.25">
      <c r="B22" s="330"/>
      <c r="C22" s="335" t="s">
        <v>292</v>
      </c>
      <c r="D22" s="330" t="s">
        <v>283</v>
      </c>
      <c r="E22" s="331"/>
      <c r="F22" s="331"/>
      <c r="G22" s="330">
        <v>70</v>
      </c>
      <c r="H22" s="330">
        <v>77.7</v>
      </c>
      <c r="I22" s="330">
        <v>64.7</v>
      </c>
      <c r="J22" s="331"/>
      <c r="K22" s="331"/>
    </row>
    <row r="23" spans="2:11" ht="21.6" customHeight="1" outlineLevel="1" x14ac:dyDescent="0.25">
      <c r="B23" s="330"/>
      <c r="C23" s="335" t="s">
        <v>293</v>
      </c>
      <c r="D23" s="330" t="s">
        <v>283</v>
      </c>
      <c r="E23" s="331"/>
      <c r="F23" s="331"/>
      <c r="G23" s="330">
        <v>24.2</v>
      </c>
      <c r="H23" s="330">
        <v>38.9</v>
      </c>
      <c r="I23" s="330">
        <v>35.799999999999997</v>
      </c>
      <c r="J23" s="331"/>
      <c r="K23" s="331"/>
    </row>
    <row r="24" spans="2:11" ht="21.6" customHeight="1" outlineLevel="1" x14ac:dyDescent="0.25">
      <c r="B24" s="330"/>
      <c r="C24" s="337" t="s">
        <v>294</v>
      </c>
      <c r="D24" s="330" t="s">
        <v>283</v>
      </c>
      <c r="E24" s="331"/>
      <c r="F24" s="331"/>
      <c r="G24" s="330">
        <v>11.4</v>
      </c>
      <c r="H24" s="330">
        <v>16.600000000000001</v>
      </c>
      <c r="I24" s="330">
        <v>30.6</v>
      </c>
      <c r="J24" s="331"/>
      <c r="K24" s="331"/>
    </row>
    <row r="25" spans="2:11" ht="21.6" customHeight="1" outlineLevel="1" x14ac:dyDescent="0.25">
      <c r="B25" s="330"/>
      <c r="C25" s="335" t="s">
        <v>295</v>
      </c>
      <c r="D25" s="330" t="s">
        <v>283</v>
      </c>
      <c r="E25" s="331"/>
      <c r="F25" s="331"/>
      <c r="G25" s="330">
        <v>15</v>
      </c>
      <c r="H25" s="330">
        <v>10.9</v>
      </c>
      <c r="I25" s="330">
        <v>10.4</v>
      </c>
      <c r="J25" s="331"/>
      <c r="K25" s="331"/>
    </row>
    <row r="26" spans="2:11" ht="21.6" customHeight="1" outlineLevel="1" x14ac:dyDescent="0.25">
      <c r="B26" s="330"/>
      <c r="C26" s="337" t="s">
        <v>296</v>
      </c>
      <c r="D26" s="330" t="s">
        <v>283</v>
      </c>
      <c r="E26" s="331"/>
      <c r="F26" s="331"/>
      <c r="G26" s="330">
        <v>7.4</v>
      </c>
      <c r="H26" s="330">
        <v>67</v>
      </c>
      <c r="I26" s="330">
        <v>9.5</v>
      </c>
      <c r="J26" s="331"/>
      <c r="K26" s="331"/>
    </row>
    <row r="27" spans="2:11" ht="21.6" customHeight="1" outlineLevel="1" x14ac:dyDescent="0.25">
      <c r="B27" s="330"/>
      <c r="C27" s="335" t="s">
        <v>297</v>
      </c>
      <c r="D27" s="330" t="s">
        <v>283</v>
      </c>
      <c r="E27" s="331"/>
      <c r="F27" s="331"/>
      <c r="G27" s="330">
        <v>17.899999999999999</v>
      </c>
      <c r="H27" s="330"/>
      <c r="I27" s="330">
        <v>7.9</v>
      </c>
      <c r="J27" s="331"/>
      <c r="K27" s="331"/>
    </row>
    <row r="28" spans="2:11" ht="21.6" customHeight="1" outlineLevel="1" x14ac:dyDescent="0.25">
      <c r="B28" s="330"/>
      <c r="C28" s="335" t="s">
        <v>298</v>
      </c>
      <c r="D28" s="330"/>
      <c r="E28" s="331"/>
      <c r="F28" s="331"/>
      <c r="G28" s="336">
        <v>46.172915006400004</v>
      </c>
      <c r="H28" s="330"/>
      <c r="I28" s="330"/>
      <c r="J28" s="331"/>
      <c r="K28" s="331"/>
    </row>
    <row r="29" spans="2:11" ht="21.6" customHeight="1" outlineLevel="1" x14ac:dyDescent="0.25">
      <c r="B29" s="330"/>
      <c r="C29" s="337" t="s">
        <v>299</v>
      </c>
      <c r="D29" s="330"/>
      <c r="E29" s="331"/>
      <c r="F29" s="331"/>
      <c r="G29" s="336">
        <v>23.919803083800002</v>
      </c>
      <c r="H29" s="330"/>
      <c r="I29" s="330"/>
      <c r="J29" s="331"/>
      <c r="K29" s="331"/>
    </row>
    <row r="30" spans="2:11" ht="21.6" customHeight="1" outlineLevel="1" x14ac:dyDescent="0.25">
      <c r="B30" s="330"/>
      <c r="C30" s="338" t="s">
        <v>300</v>
      </c>
      <c r="D30" s="330"/>
      <c r="E30" s="331"/>
      <c r="F30" s="331"/>
      <c r="G30" s="330">
        <v>92.1</v>
      </c>
      <c r="H30" s="330">
        <v>78.2</v>
      </c>
      <c r="I30" s="330">
        <v>79.3</v>
      </c>
      <c r="J30" s="331"/>
      <c r="K30" s="331"/>
    </row>
    <row r="31" spans="2:11" ht="21.6" customHeight="1" outlineLevel="1" x14ac:dyDescent="0.25">
      <c r="B31" s="330"/>
      <c r="C31" s="339" t="s">
        <v>286</v>
      </c>
      <c r="D31" s="334" t="s">
        <v>283</v>
      </c>
      <c r="E31" s="331"/>
      <c r="F31" s="331"/>
      <c r="G31" s="340">
        <v>443.93512800000008</v>
      </c>
      <c r="H31" s="340">
        <v>407.92112916436798</v>
      </c>
      <c r="I31" s="340">
        <v>472.48589571300016</v>
      </c>
      <c r="J31" s="331"/>
      <c r="K31" s="331"/>
    </row>
    <row r="32" spans="2:11" ht="21.6" customHeight="1" x14ac:dyDescent="0.25">
      <c r="B32" s="330"/>
      <c r="C32" s="331"/>
      <c r="D32" s="331"/>
      <c r="E32" s="331"/>
      <c r="F32" s="331"/>
      <c r="G32" s="330"/>
      <c r="H32" s="330"/>
      <c r="I32" s="330"/>
    </row>
    <row r="33" spans="2:12" ht="21.6" customHeight="1" x14ac:dyDescent="0.25">
      <c r="B33" s="326" t="s">
        <v>301</v>
      </c>
      <c r="C33" s="327" t="s">
        <v>302</v>
      </c>
      <c r="D33" s="328"/>
      <c r="E33" s="328"/>
      <c r="F33" s="328"/>
      <c r="G33" s="329"/>
      <c r="H33" s="329"/>
      <c r="I33" s="329"/>
    </row>
    <row r="34" spans="2:12" ht="21.6" customHeight="1" outlineLevel="2" x14ac:dyDescent="0.25">
      <c r="B34" s="330"/>
      <c r="C34" s="331"/>
      <c r="D34" s="331"/>
      <c r="E34" s="331"/>
      <c r="F34" s="331"/>
      <c r="G34" s="330"/>
      <c r="H34" s="330"/>
      <c r="I34" s="330"/>
    </row>
    <row r="35" spans="2:12" ht="21.6" customHeight="1" outlineLevel="2" x14ac:dyDescent="0.25">
      <c r="B35" s="330"/>
      <c r="C35" s="331" t="s">
        <v>282</v>
      </c>
      <c r="D35" s="330" t="s">
        <v>283</v>
      </c>
      <c r="E35" s="331"/>
      <c r="F35" s="331"/>
      <c r="G35" s="332">
        <v>175.6</v>
      </c>
      <c r="H35" s="332">
        <v>237</v>
      </c>
      <c r="I35" s="332">
        <v>194</v>
      </c>
      <c r="J35" s="331"/>
      <c r="K35" s="331"/>
    </row>
    <row r="36" spans="2:12" ht="21.6" customHeight="1" outlineLevel="2" x14ac:dyDescent="0.25">
      <c r="B36" s="330"/>
      <c r="C36" s="331" t="s">
        <v>284</v>
      </c>
      <c r="D36" s="330" t="s">
        <v>283</v>
      </c>
      <c r="E36" s="331"/>
      <c r="F36" s="331"/>
      <c r="G36" s="332"/>
      <c r="H36" s="332">
        <v>14</v>
      </c>
      <c r="I36" s="332">
        <v>43</v>
      </c>
      <c r="J36" s="331"/>
      <c r="K36" s="331"/>
    </row>
    <row r="37" spans="2:12" ht="21.6" customHeight="1" outlineLevel="2" x14ac:dyDescent="0.25">
      <c r="B37" s="330"/>
      <c r="C37" s="341" t="s">
        <v>300</v>
      </c>
      <c r="D37" s="330" t="s">
        <v>283</v>
      </c>
      <c r="E37" s="331"/>
      <c r="F37" s="331"/>
      <c r="G37" s="332">
        <f>G38-G35-G36</f>
        <v>2</v>
      </c>
      <c r="H37" s="332">
        <f t="shared" ref="H37:I37" si="0">H38-H35-H36</f>
        <v>4</v>
      </c>
      <c r="I37" s="332">
        <f t="shared" si="0"/>
        <v>4.9905455500000073</v>
      </c>
      <c r="J37" s="331"/>
      <c r="K37" s="331"/>
    </row>
    <row r="38" spans="2:12" ht="21.6" customHeight="1" outlineLevel="2" x14ac:dyDescent="0.25">
      <c r="B38" s="330"/>
      <c r="C38" s="339" t="s">
        <v>286</v>
      </c>
      <c r="D38" s="330" t="s">
        <v>283</v>
      </c>
      <c r="E38" s="331"/>
      <c r="F38" s="331"/>
      <c r="G38" s="340">
        <v>177.6</v>
      </c>
      <c r="H38" s="340">
        <v>255</v>
      </c>
      <c r="I38" s="340">
        <v>241.99054555000001</v>
      </c>
      <c r="J38" s="331"/>
      <c r="K38" s="331"/>
    </row>
    <row r="39" spans="2:12" ht="21.6" customHeight="1" x14ac:dyDescent="0.25">
      <c r="B39" s="330"/>
      <c r="C39" s="331"/>
      <c r="D39" s="331"/>
      <c r="E39" s="331"/>
      <c r="F39" s="331"/>
      <c r="G39" s="330"/>
      <c r="H39" s="330"/>
      <c r="I39" s="330"/>
    </row>
    <row r="40" spans="2:12" ht="21.6" customHeight="1" x14ac:dyDescent="0.25">
      <c r="B40" s="326" t="s">
        <v>303</v>
      </c>
      <c r="C40" s="327" t="s">
        <v>304</v>
      </c>
      <c r="D40" s="328"/>
      <c r="E40" s="328"/>
      <c r="F40" s="328"/>
      <c r="G40" s="329"/>
      <c r="H40" s="329"/>
      <c r="I40" s="329"/>
    </row>
    <row r="41" spans="2:12" ht="21.6" customHeight="1" outlineLevel="1" x14ac:dyDescent="0.25">
      <c r="B41" s="330"/>
      <c r="C41" s="331"/>
      <c r="D41" s="331"/>
      <c r="E41" s="331"/>
      <c r="F41" s="331"/>
      <c r="G41" s="330"/>
      <c r="H41" s="330"/>
      <c r="I41" s="330"/>
    </row>
    <row r="42" spans="2:12" ht="21.6" customHeight="1" outlineLevel="1" x14ac:dyDescent="0.25">
      <c r="B42" s="330"/>
      <c r="C42" s="333" t="s">
        <v>305</v>
      </c>
      <c r="D42" s="334" t="s">
        <v>283</v>
      </c>
      <c r="E42" s="333"/>
      <c r="F42" s="333"/>
      <c r="G42" s="340">
        <f>G15+G31-G38</f>
        <v>1184.3351280000002</v>
      </c>
      <c r="H42" s="340">
        <f t="shared" ref="H42:I42" si="1">H15+H31-H38</f>
        <v>1481.921129164368</v>
      </c>
      <c r="I42" s="340">
        <f t="shared" si="1"/>
        <v>1537.4953501630002</v>
      </c>
      <c r="J42" s="333"/>
      <c r="K42" s="333"/>
      <c r="L42" s="333"/>
    </row>
    <row r="43" spans="2:12" ht="21.6" customHeight="1" x14ac:dyDescent="0.25">
      <c r="B43" s="330"/>
      <c r="C43" s="331"/>
      <c r="D43" s="331"/>
      <c r="E43" s="331"/>
      <c r="F43" s="331"/>
      <c r="G43" s="330"/>
      <c r="H43" s="330"/>
      <c r="I43" s="330"/>
    </row>
    <row r="44" spans="2:12" ht="21.6" customHeight="1" x14ac:dyDescent="0.25">
      <c r="B44" s="326" t="s">
        <v>306</v>
      </c>
      <c r="C44" s="327" t="s">
        <v>307</v>
      </c>
      <c r="D44" s="328"/>
      <c r="E44" s="328"/>
      <c r="F44" s="328"/>
      <c r="G44" s="329"/>
      <c r="H44" s="329"/>
      <c r="I44" s="329"/>
    </row>
    <row r="45" spans="2:12" ht="21.6" customHeight="1" outlineLevel="1" x14ac:dyDescent="0.25">
      <c r="B45" s="330"/>
      <c r="C45" s="331"/>
      <c r="D45" s="331"/>
      <c r="E45" s="331"/>
      <c r="F45" s="331"/>
      <c r="G45" s="330"/>
      <c r="H45" s="330"/>
      <c r="I45" s="330"/>
    </row>
    <row r="46" spans="2:12" ht="21.6" customHeight="1" outlineLevel="1" x14ac:dyDescent="0.25">
      <c r="B46" s="330"/>
      <c r="C46" s="333" t="s">
        <v>305</v>
      </c>
      <c r="D46" s="334" t="s">
        <v>283</v>
      </c>
      <c r="E46" s="331"/>
      <c r="F46" s="331"/>
      <c r="G46" s="334">
        <v>96</v>
      </c>
      <c r="H46" s="334">
        <v>242</v>
      </c>
      <c r="I46" s="334">
        <v>257</v>
      </c>
      <c r="J46" s="331"/>
      <c r="K46" s="331"/>
    </row>
    <row r="47" spans="2:12" ht="21.6" customHeight="1" x14ac:dyDescent="0.25">
      <c r="B47" s="330"/>
      <c r="C47" s="331"/>
      <c r="D47" s="331"/>
      <c r="E47" s="331"/>
      <c r="F47" s="331"/>
      <c r="G47" s="330"/>
      <c r="H47" s="330"/>
      <c r="I47" s="330"/>
    </row>
    <row r="48" spans="2:12" ht="21.6" customHeight="1" x14ac:dyDescent="0.25">
      <c r="B48" s="322" t="s">
        <v>187</v>
      </c>
      <c r="C48" s="323" t="s">
        <v>308</v>
      </c>
      <c r="D48" s="324"/>
      <c r="E48" s="324"/>
      <c r="F48" s="324"/>
      <c r="G48" s="325"/>
      <c r="H48" s="325"/>
      <c r="I48" s="325"/>
    </row>
    <row r="49" spans="2:11" ht="21.6" customHeight="1" x14ac:dyDescent="0.25">
      <c r="B49" s="330"/>
      <c r="C49" s="331"/>
      <c r="D49" s="331"/>
      <c r="E49" s="331"/>
      <c r="F49" s="331"/>
      <c r="G49" s="330"/>
      <c r="H49" s="330"/>
      <c r="I49" s="330"/>
    </row>
    <row r="50" spans="2:11" ht="21" customHeight="1" x14ac:dyDescent="0.25">
      <c r="B50" s="326" t="s">
        <v>309</v>
      </c>
      <c r="C50" s="327" t="s">
        <v>281</v>
      </c>
      <c r="D50" s="328"/>
      <c r="E50" s="328"/>
      <c r="F50" s="328"/>
      <c r="G50" s="329"/>
      <c r="H50" s="329"/>
      <c r="I50" s="329"/>
    </row>
    <row r="51" spans="2:11" ht="21" customHeight="1" outlineLevel="1" x14ac:dyDescent="0.25"/>
    <row r="52" spans="2:11" ht="21.6" customHeight="1" outlineLevel="1" x14ac:dyDescent="0.25">
      <c r="B52" s="330"/>
      <c r="C52" s="342" t="s">
        <v>285</v>
      </c>
      <c r="D52" s="343" t="s">
        <v>283</v>
      </c>
      <c r="E52" s="331"/>
      <c r="F52" s="331"/>
      <c r="G52" s="332">
        <v>1808.1</v>
      </c>
      <c r="H52" s="332">
        <v>1783.2</v>
      </c>
      <c r="I52" s="332">
        <v>2223</v>
      </c>
      <c r="J52" s="331"/>
      <c r="K52" s="331"/>
    </row>
    <row r="53" spans="2:11" ht="21.6" customHeight="1" outlineLevel="1" x14ac:dyDescent="0.25">
      <c r="B53" s="330"/>
      <c r="C53" s="342" t="s">
        <v>293</v>
      </c>
      <c r="D53" s="343" t="s">
        <v>283</v>
      </c>
      <c r="E53" s="331"/>
      <c r="F53" s="331"/>
      <c r="G53" s="332">
        <v>421.1</v>
      </c>
      <c r="H53" s="332">
        <v>757.4</v>
      </c>
      <c r="I53" s="332">
        <v>1467.6</v>
      </c>
      <c r="J53" s="331"/>
      <c r="K53" s="331"/>
    </row>
    <row r="54" spans="2:11" ht="21.6" customHeight="1" outlineLevel="1" x14ac:dyDescent="0.25">
      <c r="B54" s="330"/>
      <c r="C54" s="342" t="s">
        <v>310</v>
      </c>
      <c r="D54" s="343" t="s">
        <v>283</v>
      </c>
      <c r="E54" s="331"/>
      <c r="F54" s="331"/>
      <c r="G54" s="332">
        <v>199.9</v>
      </c>
      <c r="H54" s="332">
        <v>203.5</v>
      </c>
      <c r="I54" s="332">
        <v>418.1</v>
      </c>
      <c r="J54" s="331"/>
      <c r="K54" s="331"/>
    </row>
    <row r="55" spans="2:11" ht="21.6" customHeight="1" outlineLevel="1" x14ac:dyDescent="0.25">
      <c r="B55" s="330"/>
      <c r="C55" s="342" t="s">
        <v>311</v>
      </c>
      <c r="D55" s="343" t="s">
        <v>283</v>
      </c>
      <c r="E55" s="331"/>
      <c r="F55" s="331"/>
      <c r="G55" s="332">
        <v>361</v>
      </c>
      <c r="H55" s="332">
        <v>641.29999999999995</v>
      </c>
      <c r="I55" s="332">
        <v>428</v>
      </c>
      <c r="J55" s="331"/>
      <c r="K55" s="331"/>
    </row>
    <row r="56" spans="2:11" ht="21.6" customHeight="1" outlineLevel="1" x14ac:dyDescent="0.25">
      <c r="B56" s="330"/>
      <c r="C56" s="342" t="s">
        <v>284</v>
      </c>
      <c r="D56" s="343" t="s">
        <v>283</v>
      </c>
      <c r="E56" s="331"/>
      <c r="F56" s="331"/>
      <c r="G56" s="332">
        <v>267</v>
      </c>
      <c r="H56" s="332">
        <v>180</v>
      </c>
      <c r="I56" s="332">
        <v>320</v>
      </c>
      <c r="J56" s="331"/>
      <c r="K56" s="331"/>
    </row>
    <row r="57" spans="2:11" ht="21.6" customHeight="1" outlineLevel="1" x14ac:dyDescent="0.25">
      <c r="B57" s="330"/>
      <c r="C57" s="342" t="s">
        <v>300</v>
      </c>
      <c r="D57" s="343" t="s">
        <v>283</v>
      </c>
      <c r="E57" s="331"/>
      <c r="F57" s="331"/>
      <c r="G57" s="332">
        <v>53.1</v>
      </c>
      <c r="H57" s="332">
        <v>10.4</v>
      </c>
      <c r="I57" s="332">
        <v>5</v>
      </c>
      <c r="J57" s="331"/>
      <c r="K57" s="331"/>
    </row>
    <row r="58" spans="2:11" ht="21.6" customHeight="1" outlineLevel="1" x14ac:dyDescent="0.25">
      <c r="B58" s="330"/>
      <c r="C58" s="333" t="s">
        <v>286</v>
      </c>
      <c r="D58" s="334" t="s">
        <v>283</v>
      </c>
      <c r="E58" s="331"/>
      <c r="F58" s="331"/>
      <c r="G58" s="334">
        <v>3110</v>
      </c>
      <c r="H58" s="334">
        <v>3576</v>
      </c>
      <c r="I58" s="334">
        <v>4862</v>
      </c>
      <c r="J58" s="331"/>
      <c r="K58" s="331"/>
    </row>
    <row r="59" spans="2:11" ht="21.6" customHeight="1" x14ac:dyDescent="0.25">
      <c r="B59" s="330"/>
      <c r="C59" s="331"/>
      <c r="D59" s="331"/>
      <c r="E59" s="331"/>
      <c r="F59" s="331"/>
      <c r="G59" s="330"/>
      <c r="H59" s="330"/>
      <c r="I59" s="330"/>
    </row>
    <row r="60" spans="2:11" ht="21.6" customHeight="1" x14ac:dyDescent="0.25">
      <c r="B60" s="326" t="s">
        <v>312</v>
      </c>
      <c r="C60" s="327" t="s">
        <v>288</v>
      </c>
      <c r="D60" s="328"/>
      <c r="E60" s="328"/>
      <c r="F60" s="328"/>
      <c r="G60" s="329"/>
      <c r="H60" s="329"/>
      <c r="I60" s="329"/>
    </row>
    <row r="61" spans="2:11" ht="21.6" customHeight="1" outlineLevel="1" x14ac:dyDescent="0.25">
      <c r="B61" s="330"/>
      <c r="C61" s="331"/>
      <c r="D61" s="331"/>
      <c r="E61" s="331"/>
      <c r="F61" s="331"/>
      <c r="G61" s="330"/>
      <c r="H61" s="330"/>
      <c r="I61" s="330"/>
    </row>
    <row r="62" spans="2:11" ht="21.6" customHeight="1" outlineLevel="1" x14ac:dyDescent="0.25">
      <c r="B62" s="330"/>
      <c r="C62" s="335" t="s">
        <v>313</v>
      </c>
      <c r="D62" s="343" t="s">
        <v>283</v>
      </c>
      <c r="E62" s="331"/>
      <c r="F62" s="331"/>
      <c r="G62" s="330">
        <v>276.39999999999998</v>
      </c>
      <c r="H62" s="330">
        <v>793</v>
      </c>
      <c r="I62" s="330">
        <v>698.3</v>
      </c>
      <c r="J62" s="331"/>
      <c r="K62" s="331"/>
    </row>
    <row r="63" spans="2:11" ht="21.6" customHeight="1" outlineLevel="1" x14ac:dyDescent="0.25">
      <c r="B63" s="330"/>
      <c r="C63" s="335" t="s">
        <v>314</v>
      </c>
      <c r="D63" s="343" t="s">
        <v>283</v>
      </c>
      <c r="E63" s="331"/>
      <c r="F63" s="331"/>
      <c r="G63" s="330"/>
      <c r="H63" s="330"/>
      <c r="I63" s="330">
        <v>45.3</v>
      </c>
      <c r="J63" s="331"/>
      <c r="K63" s="331"/>
    </row>
    <row r="64" spans="2:11" ht="21.6" customHeight="1" outlineLevel="1" x14ac:dyDescent="0.25">
      <c r="B64" s="330"/>
      <c r="C64" s="335" t="s">
        <v>315</v>
      </c>
      <c r="D64" s="343" t="s">
        <v>283</v>
      </c>
      <c r="E64" s="331"/>
      <c r="F64" s="331"/>
      <c r="G64" s="330">
        <v>5</v>
      </c>
      <c r="H64" s="330">
        <v>3.7</v>
      </c>
      <c r="I64" s="330">
        <v>10.5</v>
      </c>
      <c r="J64" s="331"/>
      <c r="K64" s="331"/>
    </row>
    <row r="65" spans="2:11" ht="21.6" customHeight="1" outlineLevel="1" x14ac:dyDescent="0.25">
      <c r="B65" s="330"/>
      <c r="C65" s="335" t="s">
        <v>316</v>
      </c>
      <c r="D65" s="343" t="s">
        <v>283</v>
      </c>
      <c r="E65" s="331"/>
      <c r="F65" s="331"/>
      <c r="G65" s="330">
        <v>17.899999999999999</v>
      </c>
      <c r="H65" s="330">
        <v>15.8</v>
      </c>
      <c r="I65" s="330">
        <v>8.6999999999999993</v>
      </c>
      <c r="J65" s="331"/>
      <c r="K65" s="331"/>
    </row>
    <row r="66" spans="2:11" ht="21.6" customHeight="1" outlineLevel="1" x14ac:dyDescent="0.25">
      <c r="B66" s="330"/>
      <c r="C66" s="335" t="s">
        <v>317</v>
      </c>
      <c r="D66" s="343" t="s">
        <v>283</v>
      </c>
      <c r="E66" s="331"/>
      <c r="F66" s="331"/>
      <c r="G66" s="330">
        <v>2.6</v>
      </c>
      <c r="H66" s="330">
        <v>3.8</v>
      </c>
      <c r="I66" s="330">
        <v>4</v>
      </c>
      <c r="J66" s="331"/>
      <c r="K66" s="331"/>
    </row>
    <row r="67" spans="2:11" ht="21.6" customHeight="1" outlineLevel="1" x14ac:dyDescent="0.25">
      <c r="B67" s="330"/>
      <c r="C67" s="335" t="s">
        <v>318</v>
      </c>
      <c r="D67" s="343" t="s">
        <v>283</v>
      </c>
      <c r="E67" s="331"/>
      <c r="F67" s="331"/>
      <c r="G67" s="330">
        <v>6.3</v>
      </c>
      <c r="H67" s="330">
        <v>5.5</v>
      </c>
      <c r="I67" s="330">
        <v>0.8</v>
      </c>
      <c r="J67" s="331"/>
      <c r="K67" s="331"/>
    </row>
    <row r="68" spans="2:11" ht="21.6" customHeight="1" outlineLevel="1" x14ac:dyDescent="0.25">
      <c r="B68" s="330"/>
      <c r="C68" s="335" t="s">
        <v>319</v>
      </c>
      <c r="D68" s="343" t="s">
        <v>283</v>
      </c>
      <c r="E68" s="331"/>
      <c r="F68" s="331"/>
      <c r="G68" s="330">
        <v>11.1</v>
      </c>
      <c r="H68" s="330">
        <v>11.1</v>
      </c>
      <c r="I68" s="330"/>
      <c r="J68" s="331"/>
      <c r="K68" s="331"/>
    </row>
    <row r="69" spans="2:11" ht="21.6" customHeight="1" outlineLevel="1" x14ac:dyDescent="0.25">
      <c r="B69" s="330"/>
      <c r="C69" s="335" t="s">
        <v>310</v>
      </c>
      <c r="D69" s="343" t="s">
        <v>283</v>
      </c>
      <c r="E69" s="331"/>
      <c r="F69" s="331"/>
      <c r="G69" s="330"/>
      <c r="H69" s="330">
        <v>11</v>
      </c>
      <c r="I69" s="330"/>
      <c r="J69" s="331"/>
      <c r="K69" s="331"/>
    </row>
    <row r="70" spans="2:11" ht="21.6" customHeight="1" outlineLevel="1" x14ac:dyDescent="0.25">
      <c r="B70" s="330"/>
      <c r="C70" s="335" t="s">
        <v>320</v>
      </c>
      <c r="D70" s="343" t="s">
        <v>283</v>
      </c>
      <c r="E70" s="331"/>
      <c r="F70" s="331"/>
      <c r="G70" s="330">
        <v>30.8</v>
      </c>
      <c r="H70" s="330"/>
      <c r="I70" s="330"/>
      <c r="J70" s="331"/>
      <c r="K70" s="331"/>
    </row>
    <row r="71" spans="2:11" ht="21.6" customHeight="1" outlineLevel="1" x14ac:dyDescent="0.25">
      <c r="B71" s="330"/>
      <c r="C71" s="335" t="s">
        <v>321</v>
      </c>
      <c r="D71" s="343" t="s">
        <v>283</v>
      </c>
      <c r="E71" s="331"/>
      <c r="F71" s="331"/>
      <c r="G71" s="330">
        <v>4.5</v>
      </c>
      <c r="H71" s="330"/>
      <c r="I71" s="330"/>
      <c r="J71" s="331"/>
      <c r="K71" s="331"/>
    </row>
    <row r="72" spans="2:11" ht="21.6" customHeight="1" outlineLevel="1" x14ac:dyDescent="0.25">
      <c r="B72" s="330"/>
      <c r="C72" s="344" t="s">
        <v>300</v>
      </c>
      <c r="D72" s="343" t="s">
        <v>283</v>
      </c>
      <c r="E72" s="331"/>
      <c r="F72" s="331"/>
      <c r="G72" s="336">
        <f>G73-SUM(G62:G71)</f>
        <v>49.293438000000037</v>
      </c>
      <c r="H72" s="336">
        <f>H73-SUM(H62:H71)</f>
        <v>33.717744635183863</v>
      </c>
      <c r="I72" s="336">
        <f>I73-SUM(I62:I71)</f>
        <v>27.370797530000118</v>
      </c>
      <c r="J72" s="331"/>
      <c r="K72" s="331"/>
    </row>
    <row r="73" spans="2:11" ht="21.6" customHeight="1" outlineLevel="1" x14ac:dyDescent="0.25">
      <c r="B73" s="330"/>
      <c r="C73" s="339" t="s">
        <v>286</v>
      </c>
      <c r="D73" s="334" t="s">
        <v>283</v>
      </c>
      <c r="E73" s="331"/>
      <c r="F73" s="331"/>
      <c r="G73" s="345">
        <v>403.89343800000006</v>
      </c>
      <c r="H73" s="340">
        <v>877.61774463518384</v>
      </c>
      <c r="I73" s="340">
        <v>794.97079753000003</v>
      </c>
      <c r="J73" s="331"/>
      <c r="K73" s="331"/>
    </row>
    <row r="74" spans="2:11" ht="21.6" customHeight="1" x14ac:dyDescent="0.25">
      <c r="B74" s="330"/>
      <c r="C74" s="331"/>
      <c r="D74" s="331"/>
      <c r="E74" s="331"/>
      <c r="F74" s="331"/>
      <c r="G74" s="330"/>
      <c r="H74" s="330"/>
      <c r="I74" s="330"/>
    </row>
    <row r="75" spans="2:11" ht="21.6" customHeight="1" x14ac:dyDescent="0.25">
      <c r="B75" s="326" t="s">
        <v>322</v>
      </c>
      <c r="C75" s="327" t="s">
        <v>323</v>
      </c>
      <c r="D75" s="328"/>
      <c r="E75" s="328"/>
      <c r="F75" s="328"/>
      <c r="G75" s="329"/>
      <c r="H75" s="329"/>
      <c r="I75" s="329"/>
    </row>
    <row r="76" spans="2:11" ht="21.6" customHeight="1" outlineLevel="2" x14ac:dyDescent="0.25">
      <c r="B76" s="330"/>
      <c r="C76" s="331"/>
      <c r="D76" s="331"/>
      <c r="E76" s="331"/>
      <c r="F76" s="331"/>
      <c r="G76" s="330"/>
      <c r="H76" s="330"/>
      <c r="I76" s="330"/>
    </row>
    <row r="77" spans="2:11" ht="21.6" customHeight="1" outlineLevel="2" x14ac:dyDescent="0.25">
      <c r="B77" s="330"/>
      <c r="C77" s="342" t="s">
        <v>293</v>
      </c>
      <c r="D77" s="343" t="s">
        <v>283</v>
      </c>
      <c r="E77" s="331"/>
      <c r="F77" s="331"/>
      <c r="G77" s="330">
        <v>50.8</v>
      </c>
      <c r="H77" s="330">
        <v>79</v>
      </c>
      <c r="I77" s="330">
        <v>78</v>
      </c>
      <c r="J77" s="331"/>
      <c r="K77" s="331"/>
    </row>
    <row r="78" spans="2:11" ht="21.6" customHeight="1" outlineLevel="2" x14ac:dyDescent="0.25">
      <c r="B78" s="330"/>
      <c r="C78" s="342" t="s">
        <v>310</v>
      </c>
      <c r="D78" s="343" t="s">
        <v>283</v>
      </c>
      <c r="E78" s="331"/>
      <c r="F78" s="331"/>
      <c r="G78" s="330">
        <v>30.5</v>
      </c>
      <c r="H78" s="330">
        <v>18</v>
      </c>
      <c r="I78" s="330">
        <v>95</v>
      </c>
      <c r="J78" s="331"/>
      <c r="K78" s="331"/>
    </row>
    <row r="79" spans="2:11" ht="21.6" customHeight="1" outlineLevel="2" x14ac:dyDescent="0.25">
      <c r="B79" s="330"/>
      <c r="C79" s="344" t="s">
        <v>300</v>
      </c>
      <c r="D79" s="343" t="s">
        <v>283</v>
      </c>
      <c r="E79" s="331"/>
      <c r="F79" s="331"/>
      <c r="G79" s="330">
        <f>G80-SUM(G77:G78)</f>
        <v>17</v>
      </c>
      <c r="H79" s="330">
        <f>H80-SUM(H77:H78)</f>
        <v>10</v>
      </c>
      <c r="I79" s="330">
        <f>I80-SUM(I77:I78)</f>
        <v>18.800000000000011</v>
      </c>
      <c r="J79" s="331"/>
      <c r="K79" s="331"/>
    </row>
    <row r="80" spans="2:11" ht="21.6" customHeight="1" outlineLevel="2" x14ac:dyDescent="0.25">
      <c r="B80" s="330"/>
      <c r="C80" s="339" t="s">
        <v>286</v>
      </c>
      <c r="D80" s="330" t="s">
        <v>283</v>
      </c>
      <c r="E80" s="331"/>
      <c r="F80" s="331"/>
      <c r="G80" s="334">
        <v>98.3</v>
      </c>
      <c r="H80" s="340">
        <v>107</v>
      </c>
      <c r="I80" s="340">
        <v>191.8</v>
      </c>
      <c r="J80" s="331"/>
      <c r="K80" s="331"/>
    </row>
    <row r="81" spans="2:11" ht="21.6" customHeight="1" outlineLevel="2" x14ac:dyDescent="0.25">
      <c r="B81" s="330"/>
      <c r="C81" s="333"/>
      <c r="D81" s="334"/>
      <c r="E81" s="331"/>
      <c r="F81" s="331"/>
      <c r="G81" s="330"/>
      <c r="H81" s="334"/>
      <c r="I81" s="334"/>
    </row>
    <row r="82" spans="2:11" ht="21.6" customHeight="1" outlineLevel="2" x14ac:dyDescent="0.25">
      <c r="B82" s="326" t="s">
        <v>324</v>
      </c>
      <c r="C82" s="327" t="s">
        <v>325</v>
      </c>
      <c r="D82" s="328"/>
      <c r="E82" s="328"/>
      <c r="F82" s="328"/>
      <c r="G82" s="329"/>
      <c r="H82" s="329"/>
      <c r="I82" s="329"/>
    </row>
    <row r="83" spans="2:11" ht="21.6" customHeight="1" x14ac:dyDescent="0.25">
      <c r="B83" s="330"/>
      <c r="C83" s="331"/>
      <c r="D83" s="331"/>
      <c r="E83" s="331"/>
      <c r="F83" s="331"/>
      <c r="G83" s="330"/>
      <c r="H83" s="330"/>
      <c r="I83" s="330"/>
    </row>
    <row r="84" spans="2:11" ht="21.6" customHeight="1" x14ac:dyDescent="0.25">
      <c r="B84" s="330"/>
      <c r="C84" s="333" t="s">
        <v>286</v>
      </c>
      <c r="D84" s="334" t="s">
        <v>283</v>
      </c>
      <c r="E84" s="331"/>
      <c r="F84" s="331"/>
      <c r="G84" s="334">
        <v>1180</v>
      </c>
      <c r="H84" s="334">
        <v>990</v>
      </c>
      <c r="I84" s="334">
        <v>1217</v>
      </c>
      <c r="J84" s="331"/>
      <c r="K84" s="331"/>
    </row>
    <row r="85" spans="2:11" ht="21.6" customHeight="1" x14ac:dyDescent="0.25"/>
    <row r="86" spans="2:11" ht="21.6" customHeight="1" x14ac:dyDescent="0.25">
      <c r="B86" s="326" t="s">
        <v>326</v>
      </c>
      <c r="C86" s="327" t="s">
        <v>304</v>
      </c>
      <c r="D86" s="328"/>
      <c r="E86" s="328"/>
      <c r="F86" s="328"/>
      <c r="G86" s="329"/>
      <c r="H86" s="329"/>
      <c r="I86" s="329"/>
    </row>
    <row r="87" spans="2:11" ht="21.6" customHeight="1" outlineLevel="1" x14ac:dyDescent="0.25">
      <c r="B87" s="330"/>
      <c r="C87" s="331"/>
      <c r="D87" s="331"/>
      <c r="E87" s="331"/>
      <c r="F87" s="331"/>
      <c r="G87" s="330"/>
      <c r="H87" s="330"/>
      <c r="I87" s="330"/>
    </row>
    <row r="88" spans="2:11" ht="21.6" customHeight="1" outlineLevel="1" x14ac:dyDescent="0.25">
      <c r="B88" s="330"/>
      <c r="C88" s="333" t="s">
        <v>305</v>
      </c>
      <c r="D88" s="334" t="s">
        <v>283</v>
      </c>
      <c r="E88" s="333"/>
      <c r="F88" s="333"/>
      <c r="G88" s="345">
        <f>G58+G73-G80+G84</f>
        <v>4595.5934379999999</v>
      </c>
      <c r="H88" s="345">
        <f t="shared" ref="H88:I88" si="2">H58+H73-H80+H84</f>
        <v>5336.617744635184</v>
      </c>
      <c r="I88" s="345">
        <f t="shared" si="2"/>
        <v>6682.1707975299996</v>
      </c>
      <c r="J88" s="331"/>
      <c r="K88" s="331"/>
    </row>
    <row r="89" spans="2:11" ht="21.6" customHeight="1" x14ac:dyDescent="0.25">
      <c r="B89" s="330"/>
      <c r="C89" s="331"/>
      <c r="D89" s="331"/>
      <c r="E89" s="331"/>
      <c r="F89" s="331"/>
      <c r="G89" s="330"/>
      <c r="H89" s="330"/>
      <c r="I89" s="330"/>
    </row>
    <row r="90" spans="2:11" ht="21.6" customHeight="1" x14ac:dyDescent="0.25">
      <c r="B90" s="326" t="s">
        <v>327</v>
      </c>
      <c r="C90" s="327" t="s">
        <v>328</v>
      </c>
      <c r="D90" s="328"/>
      <c r="E90" s="328"/>
      <c r="F90" s="328"/>
      <c r="G90" s="329"/>
      <c r="H90" s="329"/>
      <c r="I90" s="329"/>
    </row>
    <row r="91" spans="2:11" ht="21.6" customHeight="1" outlineLevel="1" x14ac:dyDescent="0.25">
      <c r="B91" s="330"/>
      <c r="C91" s="331"/>
      <c r="D91" s="331"/>
      <c r="E91" s="331"/>
      <c r="F91" s="331"/>
      <c r="G91" s="330"/>
      <c r="H91" s="330"/>
      <c r="I91" s="330"/>
    </row>
    <row r="92" spans="2:11" ht="21.6" customHeight="1" outlineLevel="1" x14ac:dyDescent="0.25">
      <c r="B92" s="330"/>
      <c r="C92" s="333" t="s">
        <v>305</v>
      </c>
      <c r="D92" s="334" t="s">
        <v>283</v>
      </c>
      <c r="E92" s="331"/>
      <c r="F92" s="331"/>
      <c r="G92" s="334">
        <v>262</v>
      </c>
      <c r="H92" s="334">
        <v>168</v>
      </c>
      <c r="I92" s="334">
        <v>286</v>
      </c>
      <c r="J92" s="331"/>
      <c r="K92" s="331"/>
    </row>
    <row r="93" spans="2:11" ht="21.6" customHeight="1" outlineLevel="1" x14ac:dyDescent="0.25">
      <c r="B93" s="330"/>
      <c r="C93" s="331"/>
      <c r="D93" s="331"/>
      <c r="E93" s="331"/>
      <c r="F93" s="331"/>
      <c r="G93" s="330"/>
      <c r="H93" s="330"/>
      <c r="I93" s="330"/>
    </row>
    <row r="94" spans="2:11" ht="21.6" customHeight="1" x14ac:dyDescent="0.25">
      <c r="B94" s="326" t="s">
        <v>329</v>
      </c>
      <c r="C94" s="327" t="s">
        <v>330</v>
      </c>
      <c r="D94" s="328"/>
      <c r="E94" s="328"/>
      <c r="F94" s="328"/>
      <c r="G94" s="329"/>
      <c r="H94" s="329"/>
      <c r="I94" s="329"/>
    </row>
    <row r="95" spans="2:11" ht="21.6" customHeight="1" outlineLevel="1" x14ac:dyDescent="0.25">
      <c r="B95" s="330"/>
      <c r="C95" s="331"/>
      <c r="D95" s="331"/>
      <c r="E95" s="331"/>
      <c r="F95" s="331"/>
      <c r="G95" s="330"/>
      <c r="H95" s="330"/>
      <c r="I95" s="330"/>
    </row>
    <row r="96" spans="2:11" ht="21.6" customHeight="1" outlineLevel="1" x14ac:dyDescent="0.25">
      <c r="B96" s="330"/>
      <c r="C96" s="333" t="s">
        <v>305</v>
      </c>
      <c r="D96" s="334" t="s">
        <v>283</v>
      </c>
      <c r="E96" s="331"/>
      <c r="F96" s="331"/>
      <c r="G96" s="340">
        <f>G88-G92-G84</f>
        <v>3153.5934379999999</v>
      </c>
      <c r="H96" s="340">
        <f>H88-H92-H84</f>
        <v>4178.617744635184</v>
      </c>
      <c r="I96" s="340">
        <f t="shared" ref="I96" si="3">I88-I92-I84</f>
        <v>5179.1707975299996</v>
      </c>
      <c r="J96" s="333"/>
      <c r="K96" s="333"/>
    </row>
    <row r="97" spans="2:11" ht="21.6" customHeight="1" outlineLevel="1" x14ac:dyDescent="0.25">
      <c r="B97" s="330"/>
      <c r="C97" s="333"/>
      <c r="D97" s="334"/>
      <c r="E97" s="331"/>
      <c r="F97" s="331"/>
      <c r="G97" s="330"/>
      <c r="H97" s="334"/>
      <c r="I97" s="334"/>
    </row>
    <row r="98" spans="2:11" ht="21.6" customHeight="1" x14ac:dyDescent="0.25">
      <c r="B98" s="322" t="s">
        <v>331</v>
      </c>
      <c r="C98" s="323" t="s">
        <v>332</v>
      </c>
      <c r="D98" s="324"/>
      <c r="E98" s="324"/>
      <c r="F98" s="324"/>
      <c r="G98" s="325"/>
      <c r="H98" s="325"/>
      <c r="I98" s="325"/>
    </row>
    <row r="99" spans="2:11" ht="21.6" customHeight="1" x14ac:dyDescent="0.25">
      <c r="B99" s="330"/>
      <c r="C99" s="331"/>
      <c r="D99" s="331"/>
      <c r="E99" s="331"/>
      <c r="F99" s="331"/>
      <c r="G99" s="330"/>
      <c r="H99" s="330"/>
      <c r="I99" s="330"/>
    </row>
    <row r="100" spans="2:11" ht="21.6" customHeight="1" outlineLevel="1" x14ac:dyDescent="0.25">
      <c r="B100" s="330"/>
      <c r="C100" s="331"/>
      <c r="D100" s="331"/>
      <c r="E100" s="331"/>
      <c r="F100" s="331"/>
      <c r="G100" s="330"/>
      <c r="H100" s="330"/>
      <c r="I100" s="330"/>
    </row>
    <row r="101" spans="2:11" ht="21.6" customHeight="1" x14ac:dyDescent="0.25">
      <c r="B101" s="326" t="s">
        <v>333</v>
      </c>
      <c r="C101" s="327" t="s">
        <v>334</v>
      </c>
      <c r="D101" s="328"/>
      <c r="E101" s="328"/>
      <c r="F101" s="328"/>
      <c r="G101" s="329"/>
      <c r="H101" s="329"/>
      <c r="I101" s="329"/>
    </row>
    <row r="102" spans="2:11" ht="21.6" customHeight="1" outlineLevel="1" x14ac:dyDescent="0.25">
      <c r="B102" s="330"/>
      <c r="C102" s="331"/>
      <c r="D102" s="331"/>
      <c r="E102" s="331"/>
      <c r="F102" s="331"/>
      <c r="G102" s="330"/>
      <c r="H102" s="330"/>
      <c r="I102" s="330"/>
    </row>
    <row r="103" spans="2:11" ht="21.6" customHeight="1" outlineLevel="1" x14ac:dyDescent="0.25">
      <c r="B103" s="330"/>
      <c r="C103" s="333" t="s">
        <v>305</v>
      </c>
      <c r="D103" s="334" t="s">
        <v>283</v>
      </c>
      <c r="E103" s="331"/>
      <c r="F103" s="331"/>
      <c r="G103" s="340">
        <f>G92+SUM(G46+G96)*5.2</f>
        <v>17159.885877600002</v>
      </c>
      <c r="H103" s="340">
        <f>H92+SUM(H46+H96)*5.2</f>
        <v>23155.212272102959</v>
      </c>
      <c r="I103" s="340">
        <f>I92+SUM(I46+I96)*5.2</f>
        <v>28554.088147155999</v>
      </c>
    </row>
    <row r="104" spans="2:11" ht="21.6" customHeight="1" outlineLevel="1" x14ac:dyDescent="0.25">
      <c r="B104" s="330"/>
      <c r="C104" s="331"/>
      <c r="D104" s="331"/>
      <c r="E104" s="331"/>
      <c r="F104" s="331"/>
      <c r="G104" s="330"/>
      <c r="H104" s="330"/>
      <c r="I104" s="330"/>
      <c r="J104" s="330"/>
    </row>
    <row r="105" spans="2:11" ht="21.6" customHeight="1" outlineLevel="1" x14ac:dyDescent="0.25">
      <c r="B105" s="330"/>
      <c r="C105" s="331"/>
      <c r="D105" s="331"/>
      <c r="E105" s="331"/>
      <c r="F105" s="331"/>
      <c r="G105" s="330"/>
      <c r="H105" s="330"/>
      <c r="I105" s="330"/>
    </row>
    <row r="106" spans="2:11" ht="21.6" customHeight="1" x14ac:dyDescent="0.25">
      <c r="B106" s="326" t="s">
        <v>335</v>
      </c>
      <c r="C106" s="327" t="s">
        <v>302</v>
      </c>
      <c r="D106" s="328"/>
      <c r="E106" s="328"/>
      <c r="F106" s="328"/>
      <c r="G106" s="329"/>
      <c r="H106" s="329"/>
      <c r="I106" s="329"/>
    </row>
    <row r="107" spans="2:11" ht="21.6" customHeight="1" outlineLevel="1" x14ac:dyDescent="0.25">
      <c r="B107" s="330"/>
      <c r="C107" s="331"/>
      <c r="D107" s="331"/>
      <c r="E107" s="331"/>
      <c r="F107" s="331"/>
      <c r="G107" s="330"/>
      <c r="H107" s="330"/>
      <c r="I107" s="330"/>
    </row>
    <row r="108" spans="2:11" ht="21.6" customHeight="1" outlineLevel="1" x14ac:dyDescent="0.25">
      <c r="B108" s="330"/>
      <c r="C108" s="342" t="s">
        <v>336</v>
      </c>
      <c r="D108" s="343" t="s">
        <v>283</v>
      </c>
      <c r="E108" s="331"/>
      <c r="F108" s="331"/>
      <c r="G108" s="330"/>
      <c r="H108" s="330"/>
      <c r="I108" s="330">
        <v>4.4000000000000004</v>
      </c>
      <c r="J108" s="331"/>
      <c r="K108" s="331"/>
    </row>
    <row r="109" spans="2:11" ht="21.6" customHeight="1" outlineLevel="1" x14ac:dyDescent="0.25">
      <c r="B109" s="330"/>
      <c r="C109" s="342" t="s">
        <v>337</v>
      </c>
      <c r="D109" s="343" t="s">
        <v>283</v>
      </c>
      <c r="E109" s="331"/>
      <c r="F109" s="331"/>
      <c r="G109" s="330">
        <v>5.2</v>
      </c>
      <c r="H109" s="330">
        <v>0.6</v>
      </c>
      <c r="I109" s="330">
        <v>1.9</v>
      </c>
      <c r="J109" s="331"/>
      <c r="K109" s="331"/>
    </row>
    <row r="110" spans="2:11" ht="21.6" customHeight="1" outlineLevel="1" x14ac:dyDescent="0.25">
      <c r="B110" s="330"/>
      <c r="C110" s="342" t="s">
        <v>338</v>
      </c>
      <c r="D110" s="343"/>
      <c r="E110" s="331"/>
      <c r="F110" s="331"/>
      <c r="G110" s="330">
        <v>8.4</v>
      </c>
      <c r="H110" s="330"/>
      <c r="I110" s="330">
        <v>0.3</v>
      </c>
      <c r="J110" s="331"/>
      <c r="K110" s="331"/>
    </row>
    <row r="111" spans="2:11" ht="21.6" customHeight="1" outlineLevel="1" x14ac:dyDescent="0.25">
      <c r="B111" s="330"/>
      <c r="C111" s="342" t="s">
        <v>339</v>
      </c>
      <c r="D111" s="343"/>
      <c r="E111" s="331"/>
      <c r="F111" s="331"/>
      <c r="G111" s="330">
        <v>41</v>
      </c>
      <c r="H111" s="330"/>
      <c r="I111" s="330"/>
      <c r="J111" s="331"/>
      <c r="K111" s="331"/>
    </row>
    <row r="112" spans="2:11" ht="21.6" customHeight="1" outlineLevel="1" x14ac:dyDescent="0.25">
      <c r="B112" s="330"/>
      <c r="C112" s="342" t="s">
        <v>340</v>
      </c>
      <c r="D112" s="343"/>
      <c r="E112" s="331"/>
      <c r="F112" s="331"/>
      <c r="G112" s="330">
        <v>22.7</v>
      </c>
      <c r="H112" s="330"/>
      <c r="I112" s="330"/>
      <c r="J112" s="331"/>
      <c r="K112" s="331"/>
    </row>
    <row r="113" spans="2:11" ht="21.6" customHeight="1" outlineLevel="1" x14ac:dyDescent="0.25">
      <c r="B113" s="330"/>
      <c r="C113" s="342" t="s">
        <v>341</v>
      </c>
      <c r="D113" s="343"/>
      <c r="E113" s="331"/>
      <c r="F113" s="331"/>
      <c r="G113" s="330">
        <v>10.199999999999999</v>
      </c>
      <c r="H113" s="330"/>
      <c r="I113" s="330"/>
      <c r="J113" s="331"/>
      <c r="K113" s="331"/>
    </row>
    <row r="114" spans="2:11" ht="21.6" customHeight="1" outlineLevel="1" x14ac:dyDescent="0.25">
      <c r="B114" s="330"/>
      <c r="C114" s="315" t="s">
        <v>300</v>
      </c>
      <c r="D114" s="343" t="s">
        <v>283</v>
      </c>
      <c r="E114" s="331"/>
      <c r="F114" s="331"/>
      <c r="G114" s="330">
        <f>G115-SUM(G108:G113)</f>
        <v>0.79999999999999716</v>
      </c>
      <c r="H114" s="330">
        <f>H115-SUM(H108:H113)</f>
        <v>12.4</v>
      </c>
      <c r="I114" s="330">
        <f>I115-SUM(I108:I113)</f>
        <v>0.39999999999999947</v>
      </c>
      <c r="J114" s="331"/>
      <c r="K114" s="331"/>
    </row>
    <row r="115" spans="2:11" ht="21.6" customHeight="1" outlineLevel="1" x14ac:dyDescent="0.25">
      <c r="B115" s="330"/>
      <c r="C115" s="333" t="s">
        <v>286</v>
      </c>
      <c r="D115" s="334" t="s">
        <v>283</v>
      </c>
      <c r="E115" s="331"/>
      <c r="F115" s="331"/>
      <c r="G115" s="340">
        <v>88.3</v>
      </c>
      <c r="H115" s="334">
        <v>13</v>
      </c>
      <c r="I115" s="334">
        <v>7</v>
      </c>
      <c r="J115" s="331"/>
      <c r="K115" s="331"/>
    </row>
    <row r="116" spans="2:11" ht="21.6" customHeight="1" outlineLevel="1" x14ac:dyDescent="0.25">
      <c r="B116" s="330"/>
      <c r="C116" s="333"/>
      <c r="D116" s="334"/>
      <c r="E116" s="331"/>
      <c r="F116" s="331"/>
      <c r="G116" s="330"/>
      <c r="H116" s="334"/>
      <c r="I116" s="334"/>
    </row>
    <row r="117" spans="2:11" ht="21.6" customHeight="1" x14ac:dyDescent="0.25">
      <c r="B117" s="326" t="s">
        <v>342</v>
      </c>
      <c r="C117" s="327" t="s">
        <v>232</v>
      </c>
      <c r="D117" s="328"/>
      <c r="E117" s="328"/>
      <c r="F117" s="328"/>
      <c r="G117" s="329"/>
      <c r="H117" s="329"/>
      <c r="I117" s="329"/>
    </row>
    <row r="118" spans="2:11" ht="21.6" customHeight="1" outlineLevel="1" x14ac:dyDescent="0.25">
      <c r="B118" s="330"/>
      <c r="C118" s="333"/>
      <c r="D118" s="334"/>
      <c r="E118" s="331"/>
      <c r="F118" s="331"/>
      <c r="G118" s="330"/>
      <c r="H118" s="334"/>
      <c r="I118" s="334"/>
    </row>
    <row r="119" spans="2:11" ht="21.6" customHeight="1" outlineLevel="1" x14ac:dyDescent="0.25">
      <c r="B119" s="330"/>
      <c r="C119" s="333" t="s">
        <v>286</v>
      </c>
      <c r="D119" s="334" t="s">
        <v>283</v>
      </c>
      <c r="E119" s="331"/>
      <c r="F119" s="331"/>
      <c r="G119" s="340">
        <f t="shared" ref="G119:I119" si="4">G103-G115</f>
        <v>17071.585877600002</v>
      </c>
      <c r="H119" s="340">
        <f t="shared" si="4"/>
        <v>23142.212272102959</v>
      </c>
      <c r="I119" s="340">
        <f t="shared" si="4"/>
        <v>28547.088147155999</v>
      </c>
      <c r="J119" s="331"/>
      <c r="K119" s="331"/>
    </row>
    <row r="120" spans="2:11" ht="21.6" customHeight="1" outlineLevel="1" x14ac:dyDescent="0.25">
      <c r="B120" s="330"/>
      <c r="C120" s="331"/>
      <c r="D120" s="331"/>
      <c r="E120" s="331"/>
      <c r="F120" s="331"/>
      <c r="G120" s="330"/>
      <c r="H120" s="330"/>
      <c r="I120" s="330"/>
    </row>
    <row r="121" spans="2:11" ht="21.6" customHeight="1" outlineLevel="1" x14ac:dyDescent="0.25">
      <c r="B121" s="322" t="s">
        <v>343</v>
      </c>
      <c r="C121" s="323" t="s">
        <v>344</v>
      </c>
      <c r="D121" s="324"/>
      <c r="E121" s="324"/>
      <c r="F121" s="324"/>
      <c r="G121" s="325"/>
      <c r="H121" s="325"/>
      <c r="I121" s="325"/>
    </row>
    <row r="122" spans="2:11" ht="21.6" customHeight="1" outlineLevel="1" x14ac:dyDescent="0.25">
      <c r="B122" s="346"/>
      <c r="C122" s="347"/>
    </row>
    <row r="123" spans="2:11" ht="21.6" customHeight="1" outlineLevel="1" x14ac:dyDescent="0.25">
      <c r="B123" s="330"/>
      <c r="C123" s="333" t="s">
        <v>345</v>
      </c>
      <c r="D123" s="334" t="s">
        <v>283</v>
      </c>
      <c r="E123" s="331"/>
      <c r="F123" s="331"/>
      <c r="G123" s="340">
        <f>G119</f>
        <v>17071.585877600002</v>
      </c>
      <c r="H123" s="340">
        <f>H119</f>
        <v>23142.212272102959</v>
      </c>
      <c r="I123" s="340">
        <f t="shared" ref="I123" si="5">I119</f>
        <v>28547.088147155999</v>
      </c>
    </row>
    <row r="124" spans="2:11" ht="21.6" customHeight="1" outlineLevel="1" x14ac:dyDescent="0.25">
      <c r="B124" s="330"/>
      <c r="C124" s="333" t="s">
        <v>346</v>
      </c>
      <c r="D124" s="334" t="s">
        <v>283</v>
      </c>
      <c r="E124" s="331"/>
      <c r="F124" s="331"/>
      <c r="G124" s="340">
        <f t="shared" ref="G124:I124" si="6">G38+G80+G115</f>
        <v>364.2</v>
      </c>
      <c r="H124" s="340">
        <f t="shared" si="6"/>
        <v>375</v>
      </c>
      <c r="I124" s="340">
        <f t="shared" si="6"/>
        <v>440.79054555000005</v>
      </c>
    </row>
    <row r="125" spans="2:11" ht="21.6" customHeight="1" outlineLevel="1" x14ac:dyDescent="0.25">
      <c r="B125" s="330"/>
      <c r="C125" s="333"/>
      <c r="D125" s="334"/>
      <c r="E125" s="331"/>
      <c r="F125" s="331"/>
      <c r="G125" s="330"/>
      <c r="H125" s="330"/>
      <c r="I125" s="330"/>
    </row>
    <row r="126" spans="2:11" ht="21.6" customHeight="1" outlineLevel="1" x14ac:dyDescent="0.25">
      <c r="B126" s="330"/>
      <c r="C126" s="331" t="s">
        <v>347</v>
      </c>
      <c r="D126" s="331"/>
      <c r="E126" s="331"/>
      <c r="F126" s="331"/>
      <c r="G126" s="330"/>
      <c r="H126" s="330"/>
      <c r="I126" s="330"/>
    </row>
    <row r="127" spans="2:11" ht="21.6" customHeight="1" x14ac:dyDescent="0.25">
      <c r="B127" s="330"/>
      <c r="C127" s="331" t="s">
        <v>348</v>
      </c>
      <c r="D127" s="331"/>
      <c r="E127" s="331"/>
      <c r="F127" s="331"/>
      <c r="G127" s="330"/>
      <c r="H127" s="330"/>
      <c r="I127" s="3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BB41-C392-4C9B-8061-7DD8969FAAC0}">
  <dimension ref="B1:Y142"/>
  <sheetViews>
    <sheetView tabSelected="1" workbookViewId="0">
      <selection activeCell="U12" sqref="U12"/>
    </sheetView>
  </sheetViews>
  <sheetFormatPr defaultColWidth="8.85546875" defaultRowHeight="12" outlineLevelRow="2" x14ac:dyDescent="0.25"/>
  <cols>
    <col min="1" max="1" width="8.85546875" style="315"/>
    <col min="2" max="2" width="8.7109375" style="316" customWidth="1"/>
    <col min="3" max="3" width="31.140625" style="315" customWidth="1"/>
    <col min="4" max="4" width="13.85546875" style="315" customWidth="1"/>
    <col min="5" max="5" width="6.7109375" style="315" customWidth="1"/>
    <col min="6" max="6" width="5.7109375" style="315" customWidth="1"/>
    <col min="7" max="15" width="12.7109375" style="316" customWidth="1"/>
    <col min="16" max="16" width="0" style="315" hidden="1" customWidth="1"/>
    <col min="17" max="16384" width="8.85546875" style="315"/>
  </cols>
  <sheetData>
    <row r="1" spans="2:16" ht="21.6" customHeight="1" x14ac:dyDescent="0.25">
      <c r="B1" s="314" t="s">
        <v>349</v>
      </c>
    </row>
    <row r="3" spans="2:16" ht="21.6" customHeight="1" thickBot="1" x14ac:dyDescent="0.3">
      <c r="B3" s="317" t="s">
        <v>0</v>
      </c>
      <c r="C3" s="317" t="s">
        <v>275</v>
      </c>
      <c r="D3" s="317" t="s">
        <v>276</v>
      </c>
      <c r="G3" s="317">
        <v>2022</v>
      </c>
      <c r="H3" s="317">
        <v>2023</v>
      </c>
      <c r="I3" s="317">
        <v>2024</v>
      </c>
      <c r="J3" s="317">
        <v>2025</v>
      </c>
      <c r="K3" s="317">
        <v>2026</v>
      </c>
      <c r="L3" s="317">
        <v>2027</v>
      </c>
      <c r="M3" s="317">
        <v>2028</v>
      </c>
      <c r="N3" s="317">
        <v>2029</v>
      </c>
      <c r="O3" s="317">
        <v>2030</v>
      </c>
    </row>
    <row r="4" spans="2:16" ht="12" customHeight="1" x14ac:dyDescent="0.25"/>
    <row r="5" spans="2:16" ht="15.6" customHeight="1" x14ac:dyDescent="0.25"/>
    <row r="6" spans="2:16" ht="21.6" customHeight="1" x14ac:dyDescent="0.25">
      <c r="B6" s="318" t="s">
        <v>277</v>
      </c>
      <c r="C6" s="319" t="s">
        <v>278</v>
      </c>
      <c r="D6" s="320"/>
      <c r="E6" s="320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48"/>
    </row>
    <row r="7" spans="2:16" ht="21" customHeight="1" x14ac:dyDescent="0.25"/>
    <row r="8" spans="2:16" ht="21" customHeight="1" x14ac:dyDescent="0.25">
      <c r="B8" s="322" t="s">
        <v>186</v>
      </c>
      <c r="C8" s="323" t="s">
        <v>279</v>
      </c>
      <c r="D8" s="324"/>
      <c r="E8" s="324"/>
      <c r="F8" s="324"/>
      <c r="G8" s="325"/>
      <c r="H8" s="325"/>
      <c r="I8" s="325"/>
      <c r="J8" s="325"/>
      <c r="K8" s="325"/>
      <c r="L8" s="325"/>
      <c r="M8" s="325"/>
      <c r="N8" s="325"/>
      <c r="O8" s="325"/>
      <c r="P8" s="324"/>
    </row>
    <row r="9" spans="2:16" ht="21" customHeight="1" x14ac:dyDescent="0.25"/>
    <row r="10" spans="2:16" ht="21" customHeight="1" x14ac:dyDescent="0.25">
      <c r="B10" s="326" t="s">
        <v>280</v>
      </c>
      <c r="C10" s="327" t="s">
        <v>281</v>
      </c>
      <c r="D10" s="328"/>
      <c r="E10" s="328"/>
      <c r="F10" s="328"/>
      <c r="G10" s="329"/>
      <c r="H10" s="329"/>
      <c r="I10" s="329"/>
      <c r="J10" s="329"/>
      <c r="K10" s="329"/>
      <c r="L10" s="329"/>
      <c r="M10" s="329"/>
      <c r="N10" s="329"/>
      <c r="O10" s="329"/>
      <c r="P10" s="328"/>
    </row>
    <row r="11" spans="2:16" ht="21" customHeight="1" outlineLevel="1" x14ac:dyDescent="0.25"/>
    <row r="12" spans="2:16" ht="21.6" customHeight="1" outlineLevel="1" x14ac:dyDescent="0.25">
      <c r="B12" s="330"/>
      <c r="C12" s="331" t="s">
        <v>282</v>
      </c>
      <c r="D12" s="330" t="s">
        <v>283</v>
      </c>
      <c r="E12" s="331"/>
      <c r="F12" s="331"/>
      <c r="G12" s="332">
        <v>1324</v>
      </c>
      <c r="H12" s="330"/>
      <c r="I12" s="330"/>
      <c r="J12" s="330"/>
      <c r="K12" s="330"/>
      <c r="L12" s="330"/>
      <c r="M12" s="330"/>
      <c r="N12" s="330"/>
      <c r="O12" s="330"/>
      <c r="P12" s="331"/>
    </row>
    <row r="13" spans="2:16" ht="21.6" customHeight="1" outlineLevel="1" x14ac:dyDescent="0.25">
      <c r="B13" s="330"/>
      <c r="C13" s="331" t="s">
        <v>284</v>
      </c>
      <c r="D13" s="330" t="s">
        <v>283</v>
      </c>
      <c r="E13" s="331"/>
      <c r="F13" s="331"/>
      <c r="G13" s="332">
        <v>132.5</v>
      </c>
      <c r="H13" s="330"/>
      <c r="I13" s="330"/>
      <c r="J13" s="330"/>
      <c r="K13" s="330"/>
      <c r="L13" s="330"/>
      <c r="M13" s="330"/>
      <c r="N13" s="330"/>
      <c r="O13" s="330"/>
      <c r="P13" s="331"/>
    </row>
    <row r="14" spans="2:16" ht="21.6" customHeight="1" outlineLevel="1" x14ac:dyDescent="0.25">
      <c r="B14" s="330"/>
      <c r="C14" s="331" t="s">
        <v>285</v>
      </c>
      <c r="D14" s="330" t="s">
        <v>283</v>
      </c>
      <c r="E14" s="331"/>
      <c r="F14" s="331"/>
      <c r="G14" s="332">
        <v>22.8</v>
      </c>
      <c r="H14" s="330"/>
      <c r="I14" s="330"/>
      <c r="J14" s="330"/>
      <c r="K14" s="330"/>
      <c r="L14" s="330"/>
      <c r="M14" s="330"/>
      <c r="N14" s="330"/>
      <c r="O14" s="330"/>
      <c r="P14" s="331"/>
    </row>
    <row r="15" spans="2:16" ht="21.6" customHeight="1" outlineLevel="1" x14ac:dyDescent="0.25">
      <c r="B15" s="330"/>
      <c r="C15" s="333" t="s">
        <v>286</v>
      </c>
      <c r="D15" s="334" t="s">
        <v>283</v>
      </c>
      <c r="E15" s="331"/>
      <c r="F15" s="331"/>
      <c r="G15" s="340">
        <f>SUM(G12:G14)</f>
        <v>1479.3</v>
      </c>
      <c r="H15" s="334">
        <v>2199</v>
      </c>
      <c r="I15" s="334">
        <v>2306</v>
      </c>
      <c r="J15" s="334">
        <v>2399</v>
      </c>
      <c r="K15" s="334">
        <v>2495</v>
      </c>
      <c r="L15" s="334">
        <v>2594</v>
      </c>
      <c r="M15" s="334">
        <v>2698</v>
      </c>
      <c r="N15" s="334">
        <v>2806</v>
      </c>
      <c r="O15" s="334">
        <v>2918</v>
      </c>
      <c r="P15" s="331"/>
    </row>
    <row r="16" spans="2:16" ht="21.6" customHeight="1" x14ac:dyDescent="0.25">
      <c r="B16" s="330"/>
      <c r="C16" s="331"/>
      <c r="D16" s="331"/>
      <c r="E16" s="331"/>
      <c r="F16" s="331"/>
      <c r="G16" s="330"/>
      <c r="H16" s="330"/>
      <c r="I16" s="330"/>
      <c r="J16" s="330"/>
      <c r="K16" s="330"/>
      <c r="L16" s="330"/>
      <c r="M16" s="330"/>
      <c r="N16" s="330"/>
      <c r="O16" s="330"/>
      <c r="P16" s="331"/>
    </row>
    <row r="17" spans="2:16" ht="21.6" customHeight="1" x14ac:dyDescent="0.25">
      <c r="B17" s="326" t="s">
        <v>287</v>
      </c>
      <c r="C17" s="327" t="s">
        <v>288</v>
      </c>
      <c r="D17" s="328"/>
      <c r="E17" s="328"/>
      <c r="F17" s="328"/>
      <c r="G17" s="329"/>
      <c r="H17" s="329"/>
      <c r="I17" s="329"/>
      <c r="J17" s="329"/>
      <c r="K17" s="329"/>
      <c r="L17" s="329"/>
      <c r="M17" s="329"/>
      <c r="N17" s="329"/>
      <c r="O17" s="329"/>
      <c r="P17" s="328"/>
    </row>
    <row r="18" spans="2:16" ht="21.6" customHeight="1" outlineLevel="1" x14ac:dyDescent="0.25">
      <c r="B18" s="330"/>
      <c r="C18" s="331"/>
      <c r="D18" s="331"/>
      <c r="E18" s="331"/>
      <c r="F18" s="331"/>
      <c r="G18" s="330"/>
      <c r="H18" s="330"/>
      <c r="I18" s="330"/>
      <c r="J18" s="330"/>
      <c r="K18" s="330"/>
      <c r="L18" s="330"/>
      <c r="M18" s="330"/>
      <c r="N18" s="330"/>
      <c r="O18" s="330"/>
      <c r="P18" s="331"/>
    </row>
    <row r="19" spans="2:16" ht="21.6" customHeight="1" outlineLevel="1" x14ac:dyDescent="0.25">
      <c r="B19" s="330"/>
      <c r="C19" s="331" t="s">
        <v>350</v>
      </c>
      <c r="D19" s="330" t="s">
        <v>283</v>
      </c>
      <c r="E19" s="331"/>
      <c r="F19" s="331"/>
      <c r="G19" s="332">
        <v>125</v>
      </c>
      <c r="H19" s="330"/>
      <c r="I19" s="330"/>
      <c r="J19" s="330"/>
      <c r="K19" s="330"/>
      <c r="L19" s="330"/>
      <c r="M19" s="330"/>
      <c r="N19" s="330"/>
      <c r="O19" s="330"/>
      <c r="P19" s="331"/>
    </row>
    <row r="20" spans="2:16" ht="21.6" customHeight="1" outlineLevel="1" x14ac:dyDescent="0.25">
      <c r="B20" s="330"/>
      <c r="C20" s="331" t="s">
        <v>351</v>
      </c>
      <c r="D20" s="330" t="s">
        <v>283</v>
      </c>
      <c r="E20" s="331"/>
      <c r="F20" s="331"/>
      <c r="G20" s="332">
        <v>97.3</v>
      </c>
      <c r="H20" s="330"/>
      <c r="I20" s="330"/>
      <c r="J20" s="330"/>
      <c r="K20" s="330"/>
      <c r="L20" s="330"/>
      <c r="M20" s="330"/>
      <c r="N20" s="330"/>
      <c r="O20" s="330"/>
      <c r="P20" s="331"/>
    </row>
    <row r="21" spans="2:16" ht="21.6" customHeight="1" outlineLevel="1" x14ac:dyDescent="0.25">
      <c r="B21" s="330"/>
      <c r="C21" s="331" t="s">
        <v>352</v>
      </c>
      <c r="D21" s="330" t="s">
        <v>283</v>
      </c>
      <c r="E21" s="331"/>
      <c r="F21" s="331"/>
      <c r="G21" s="332">
        <v>51</v>
      </c>
      <c r="H21" s="330"/>
      <c r="I21" s="330"/>
      <c r="J21" s="330"/>
      <c r="K21" s="330"/>
      <c r="L21" s="330"/>
      <c r="M21" s="330"/>
      <c r="N21" s="330"/>
      <c r="O21" s="330"/>
      <c r="P21" s="331"/>
    </row>
    <row r="22" spans="2:16" ht="21.6" customHeight="1" outlineLevel="1" x14ac:dyDescent="0.25">
      <c r="B22" s="330"/>
      <c r="C22" s="331" t="s">
        <v>353</v>
      </c>
      <c r="D22" s="330" t="s">
        <v>283</v>
      </c>
      <c r="E22" s="331"/>
      <c r="F22" s="331"/>
      <c r="G22" s="332">
        <v>46.8</v>
      </c>
      <c r="H22" s="330"/>
      <c r="I22" s="330"/>
      <c r="J22" s="330"/>
      <c r="K22" s="330"/>
      <c r="L22" s="330"/>
      <c r="M22" s="330"/>
      <c r="N22" s="330"/>
      <c r="O22" s="330"/>
      <c r="P22" s="331"/>
    </row>
    <row r="23" spans="2:16" ht="21.6" customHeight="1" outlineLevel="1" x14ac:dyDescent="0.25">
      <c r="B23" s="330"/>
      <c r="C23" s="331" t="s">
        <v>296</v>
      </c>
      <c r="D23" s="330" t="s">
        <v>283</v>
      </c>
      <c r="E23" s="331"/>
      <c r="F23" s="331"/>
      <c r="G23" s="332">
        <v>43.5</v>
      </c>
      <c r="H23" s="330"/>
      <c r="I23" s="330"/>
      <c r="J23" s="330"/>
      <c r="K23" s="330"/>
      <c r="L23" s="330"/>
      <c r="M23" s="330"/>
      <c r="N23" s="330"/>
      <c r="O23" s="330"/>
      <c r="P23" s="331"/>
    </row>
    <row r="24" spans="2:16" ht="21.6" customHeight="1" outlineLevel="1" x14ac:dyDescent="0.25">
      <c r="B24" s="330"/>
      <c r="C24" s="335" t="s">
        <v>292</v>
      </c>
      <c r="D24" s="330" t="s">
        <v>283</v>
      </c>
      <c r="E24" s="331"/>
      <c r="F24" s="331"/>
      <c r="G24" s="332">
        <v>42</v>
      </c>
      <c r="H24" s="330"/>
      <c r="I24" s="330"/>
      <c r="J24" s="330"/>
      <c r="K24" s="330"/>
      <c r="L24" s="330"/>
      <c r="M24" s="330"/>
      <c r="N24" s="330"/>
      <c r="O24" s="330"/>
      <c r="P24" s="331"/>
    </row>
    <row r="25" spans="2:16" ht="21.6" customHeight="1" outlineLevel="1" x14ac:dyDescent="0.25">
      <c r="B25" s="330"/>
      <c r="C25" s="335" t="s">
        <v>290</v>
      </c>
      <c r="D25" s="330" t="s">
        <v>283</v>
      </c>
      <c r="E25" s="331"/>
      <c r="F25" s="331"/>
      <c r="G25" s="332">
        <v>34.200000000000003</v>
      </c>
      <c r="H25" s="330"/>
      <c r="I25" s="330"/>
      <c r="J25" s="330"/>
      <c r="K25" s="330"/>
      <c r="L25" s="330"/>
      <c r="M25" s="330"/>
      <c r="N25" s="330"/>
      <c r="O25" s="330"/>
      <c r="P25" s="331"/>
    </row>
    <row r="26" spans="2:16" ht="21.6" customHeight="1" outlineLevel="1" x14ac:dyDescent="0.25">
      <c r="B26" s="330"/>
      <c r="C26" s="335" t="s">
        <v>289</v>
      </c>
      <c r="D26" s="330" t="s">
        <v>283</v>
      </c>
      <c r="E26" s="331"/>
      <c r="F26" s="331"/>
      <c r="G26" s="332">
        <v>25.2</v>
      </c>
      <c r="H26" s="330"/>
      <c r="I26" s="330"/>
      <c r="J26" s="330"/>
      <c r="K26" s="330"/>
      <c r="L26" s="330"/>
      <c r="M26" s="330"/>
      <c r="N26" s="330"/>
      <c r="O26" s="330"/>
      <c r="P26" s="331"/>
    </row>
    <row r="27" spans="2:16" ht="21.6" customHeight="1" outlineLevel="1" x14ac:dyDescent="0.25">
      <c r="B27" s="330"/>
      <c r="C27" s="315" t="s">
        <v>354</v>
      </c>
      <c r="D27" s="330" t="s">
        <v>283</v>
      </c>
      <c r="G27" s="349">
        <v>24</v>
      </c>
      <c r="H27" s="330"/>
      <c r="I27" s="330"/>
      <c r="J27" s="330"/>
      <c r="K27" s="330"/>
      <c r="L27" s="330"/>
      <c r="M27" s="330"/>
      <c r="N27" s="330"/>
      <c r="O27" s="330"/>
      <c r="P27" s="331"/>
    </row>
    <row r="28" spans="2:16" ht="21.6" customHeight="1" outlineLevel="1" x14ac:dyDescent="0.25">
      <c r="B28" s="330"/>
      <c r="C28" s="335" t="s">
        <v>293</v>
      </c>
      <c r="D28" s="330" t="s">
        <v>283</v>
      </c>
      <c r="E28" s="331"/>
      <c r="F28" s="331"/>
      <c r="G28" s="332">
        <v>20.6</v>
      </c>
      <c r="H28" s="330"/>
      <c r="I28" s="330"/>
      <c r="J28" s="330"/>
      <c r="K28" s="330"/>
      <c r="L28" s="330"/>
      <c r="M28" s="330"/>
      <c r="N28" s="330"/>
      <c r="O28" s="330"/>
      <c r="P28" s="331"/>
    </row>
    <row r="29" spans="2:16" ht="21.6" customHeight="1" outlineLevel="1" x14ac:dyDescent="0.25">
      <c r="B29" s="330"/>
      <c r="C29" s="337" t="s">
        <v>355</v>
      </c>
      <c r="D29" s="330" t="s">
        <v>283</v>
      </c>
      <c r="E29" s="331"/>
      <c r="F29" s="331"/>
      <c r="G29" s="332">
        <v>18.7</v>
      </c>
      <c r="H29" s="330"/>
      <c r="I29" s="330"/>
      <c r="J29" s="330"/>
      <c r="K29" s="330"/>
      <c r="L29" s="330"/>
      <c r="M29" s="330"/>
      <c r="N29" s="330"/>
      <c r="O29" s="330"/>
      <c r="P29" s="331"/>
    </row>
    <row r="30" spans="2:16" ht="21.6" customHeight="1" outlineLevel="1" x14ac:dyDescent="0.25">
      <c r="B30" s="330"/>
      <c r="C30" s="337" t="s">
        <v>356</v>
      </c>
      <c r="D30" s="330" t="s">
        <v>283</v>
      </c>
      <c r="E30" s="331"/>
      <c r="F30" s="331"/>
      <c r="G30" s="332">
        <v>17.100000000000001</v>
      </c>
      <c r="H30" s="330"/>
      <c r="I30" s="330"/>
      <c r="J30" s="330"/>
      <c r="K30" s="330"/>
      <c r="L30" s="330"/>
      <c r="M30" s="330"/>
      <c r="N30" s="330"/>
      <c r="O30" s="330"/>
      <c r="P30" s="331"/>
    </row>
    <row r="31" spans="2:16" ht="21.6" customHeight="1" outlineLevel="1" x14ac:dyDescent="0.25">
      <c r="B31" s="330"/>
      <c r="C31" s="335" t="s">
        <v>295</v>
      </c>
      <c r="D31" s="330" t="s">
        <v>283</v>
      </c>
      <c r="E31" s="331"/>
      <c r="F31" s="331"/>
      <c r="G31" s="332">
        <v>14.5</v>
      </c>
      <c r="H31" s="330"/>
      <c r="I31" s="330"/>
      <c r="J31" s="330"/>
      <c r="K31" s="330"/>
      <c r="L31" s="330"/>
      <c r="M31" s="330"/>
      <c r="N31" s="330"/>
      <c r="O31" s="330"/>
      <c r="P31" s="331"/>
    </row>
    <row r="32" spans="2:16" ht="21.6" customHeight="1" outlineLevel="1" x14ac:dyDescent="0.25">
      <c r="B32" s="330"/>
      <c r="C32" s="335" t="s">
        <v>357</v>
      </c>
      <c r="D32" s="330" t="s">
        <v>283</v>
      </c>
      <c r="E32" s="331"/>
      <c r="F32" s="331"/>
      <c r="G32" s="332">
        <v>14.5</v>
      </c>
      <c r="H32" s="330"/>
      <c r="I32" s="330"/>
      <c r="J32" s="330"/>
      <c r="K32" s="330"/>
      <c r="L32" s="330"/>
      <c r="M32" s="330"/>
      <c r="N32" s="330"/>
      <c r="O32" s="330"/>
      <c r="P32" s="331"/>
    </row>
    <row r="33" spans="2:16" ht="21.6" customHeight="1" outlineLevel="1" x14ac:dyDescent="0.25">
      <c r="B33" s="330"/>
      <c r="C33" s="335" t="s">
        <v>358</v>
      </c>
      <c r="D33" s="330" t="s">
        <v>283</v>
      </c>
      <c r="E33" s="331"/>
      <c r="F33" s="331"/>
      <c r="G33" s="332">
        <v>8.1999999999999993</v>
      </c>
      <c r="H33" s="330"/>
      <c r="I33" s="330"/>
      <c r="J33" s="330"/>
      <c r="K33" s="330"/>
      <c r="L33" s="330"/>
      <c r="M33" s="330"/>
      <c r="N33" s="330"/>
      <c r="O33" s="330"/>
      <c r="P33" s="331"/>
    </row>
    <row r="34" spans="2:16" ht="21.6" customHeight="1" outlineLevel="1" x14ac:dyDescent="0.25">
      <c r="B34" s="330"/>
      <c r="C34" s="335" t="s">
        <v>297</v>
      </c>
      <c r="D34" s="330" t="s">
        <v>283</v>
      </c>
      <c r="E34" s="331"/>
      <c r="F34" s="331"/>
      <c r="G34" s="332">
        <v>7.3</v>
      </c>
      <c r="H34" s="330"/>
      <c r="I34" s="330"/>
      <c r="J34" s="330"/>
      <c r="K34" s="330"/>
      <c r="L34" s="330"/>
      <c r="M34" s="330"/>
      <c r="N34" s="330"/>
      <c r="O34" s="330"/>
      <c r="P34" s="331"/>
    </row>
    <row r="35" spans="2:16" ht="21.6" customHeight="1" outlineLevel="1" x14ac:dyDescent="0.25">
      <c r="B35" s="330"/>
      <c r="C35" s="335" t="s">
        <v>291</v>
      </c>
      <c r="D35" s="330" t="s">
        <v>283</v>
      </c>
      <c r="E35" s="331"/>
      <c r="F35" s="331"/>
      <c r="G35" s="332">
        <v>4.5999999999999996</v>
      </c>
      <c r="H35" s="330"/>
      <c r="I35" s="330"/>
      <c r="J35" s="330"/>
      <c r="K35" s="330"/>
      <c r="L35" s="330"/>
      <c r="M35" s="330"/>
      <c r="N35" s="330"/>
      <c r="O35" s="330"/>
      <c r="P35" s="331"/>
    </row>
    <row r="36" spans="2:16" ht="21.6" customHeight="1" outlineLevel="1" x14ac:dyDescent="0.25">
      <c r="B36" s="330"/>
      <c r="C36" s="338" t="s">
        <v>300</v>
      </c>
      <c r="D36" s="330"/>
      <c r="E36" s="331"/>
      <c r="F36" s="331"/>
      <c r="G36" s="332">
        <f>G37-SUM(G19:G35)</f>
        <v>47.939999999999941</v>
      </c>
      <c r="H36" s="330"/>
      <c r="I36" s="330"/>
      <c r="J36" s="330"/>
      <c r="K36" s="330"/>
      <c r="L36" s="330"/>
      <c r="M36" s="330"/>
      <c r="N36" s="330"/>
      <c r="O36" s="330"/>
      <c r="P36" s="331"/>
    </row>
    <row r="37" spans="2:16" ht="21.6" customHeight="1" outlineLevel="1" x14ac:dyDescent="0.25">
      <c r="B37" s="330"/>
      <c r="C37" s="339" t="s">
        <v>286</v>
      </c>
      <c r="D37" s="334" t="s">
        <v>283</v>
      </c>
      <c r="E37" s="331"/>
      <c r="F37" s="331"/>
      <c r="G37" s="340">
        <v>642.44000000000005</v>
      </c>
      <c r="H37" s="340">
        <v>688.5</v>
      </c>
      <c r="I37" s="340">
        <v>691.2</v>
      </c>
      <c r="J37" s="340">
        <v>721.7</v>
      </c>
      <c r="K37" s="340">
        <v>732.8</v>
      </c>
      <c r="L37" s="340">
        <v>756.5</v>
      </c>
      <c r="M37" s="340">
        <v>756.5</v>
      </c>
      <c r="N37" s="340">
        <v>780.1</v>
      </c>
      <c r="O37" s="340">
        <v>780.1</v>
      </c>
      <c r="P37" s="331"/>
    </row>
    <row r="38" spans="2:16" ht="21.6" customHeight="1" x14ac:dyDescent="0.25">
      <c r="B38" s="330"/>
      <c r="C38" s="331"/>
      <c r="D38" s="331"/>
      <c r="E38" s="331"/>
      <c r="F38" s="331"/>
      <c r="G38" s="330"/>
      <c r="H38" s="330"/>
      <c r="I38" s="330"/>
      <c r="J38" s="330"/>
      <c r="K38" s="330"/>
      <c r="L38" s="330"/>
      <c r="M38" s="330"/>
      <c r="N38" s="330"/>
      <c r="O38" s="330"/>
      <c r="P38" s="331"/>
    </row>
    <row r="39" spans="2:16" ht="21.6" customHeight="1" x14ac:dyDescent="0.25">
      <c r="B39" s="326" t="s">
        <v>301</v>
      </c>
      <c r="C39" s="327" t="s">
        <v>302</v>
      </c>
      <c r="D39" s="328"/>
      <c r="E39" s="328"/>
      <c r="F39" s="328"/>
      <c r="G39" s="329"/>
      <c r="H39" s="329"/>
      <c r="I39" s="329"/>
      <c r="J39" s="329"/>
      <c r="K39" s="329"/>
      <c r="L39" s="329"/>
      <c r="M39" s="329"/>
      <c r="N39" s="329"/>
      <c r="O39" s="329"/>
      <c r="P39" s="328"/>
    </row>
    <row r="40" spans="2:16" ht="21.6" customHeight="1" outlineLevel="2" x14ac:dyDescent="0.25">
      <c r="B40" s="330"/>
      <c r="C40" s="331"/>
      <c r="D40" s="331"/>
      <c r="E40" s="331"/>
      <c r="F40" s="331"/>
      <c r="G40" s="330"/>
      <c r="H40" s="330"/>
      <c r="I40" s="330"/>
      <c r="J40" s="330"/>
      <c r="K40" s="330"/>
      <c r="L40" s="330"/>
      <c r="M40" s="330"/>
      <c r="N40" s="330"/>
      <c r="O40" s="330"/>
      <c r="P40" s="331"/>
    </row>
    <row r="41" spans="2:16" ht="21.6" customHeight="1" outlineLevel="2" x14ac:dyDescent="0.25">
      <c r="B41" s="330"/>
      <c r="C41" s="331" t="s">
        <v>282</v>
      </c>
      <c r="D41" s="330" t="s">
        <v>283</v>
      </c>
      <c r="E41" s="331"/>
      <c r="F41" s="331"/>
      <c r="G41" s="336">
        <v>1.48</v>
      </c>
      <c r="H41" s="330"/>
      <c r="I41" s="330"/>
      <c r="J41" s="330"/>
      <c r="K41" s="330"/>
      <c r="L41" s="330"/>
      <c r="M41" s="330"/>
      <c r="N41" s="330"/>
      <c r="O41" s="330"/>
      <c r="P41" s="331"/>
    </row>
    <row r="42" spans="2:16" ht="21.6" customHeight="1" outlineLevel="2" x14ac:dyDescent="0.25">
      <c r="B42" s="330"/>
      <c r="C42" s="331" t="s">
        <v>284</v>
      </c>
      <c r="D42" s="330" t="s">
        <v>283</v>
      </c>
      <c r="E42" s="331"/>
      <c r="F42" s="331"/>
      <c r="G42" s="336">
        <v>11</v>
      </c>
      <c r="H42" s="330"/>
      <c r="I42" s="330"/>
      <c r="J42" s="330"/>
      <c r="K42" s="330"/>
      <c r="L42" s="330"/>
      <c r="M42" s="330"/>
      <c r="N42" s="330"/>
      <c r="O42" s="330"/>
      <c r="P42" s="331"/>
    </row>
    <row r="43" spans="2:16" ht="21.6" customHeight="1" outlineLevel="2" x14ac:dyDescent="0.25">
      <c r="B43" s="330"/>
      <c r="C43" s="341" t="s">
        <v>300</v>
      </c>
      <c r="D43" s="330" t="s">
        <v>283</v>
      </c>
      <c r="E43" s="331"/>
      <c r="F43" s="331"/>
      <c r="G43" s="336">
        <v>6.09</v>
      </c>
      <c r="H43" s="330"/>
      <c r="I43" s="330"/>
      <c r="J43" s="330"/>
      <c r="K43" s="330"/>
      <c r="L43" s="330"/>
      <c r="M43" s="330"/>
      <c r="N43" s="330"/>
      <c r="O43" s="330"/>
      <c r="P43" s="331"/>
    </row>
    <row r="44" spans="2:16" ht="21.6" customHeight="1" outlineLevel="2" x14ac:dyDescent="0.25">
      <c r="B44" s="330"/>
      <c r="C44" s="339" t="s">
        <v>286</v>
      </c>
      <c r="D44" s="330" t="s">
        <v>283</v>
      </c>
      <c r="E44" s="331"/>
      <c r="F44" s="331"/>
      <c r="G44" s="340">
        <v>18.57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  <c r="M44" s="334">
        <v>0</v>
      </c>
      <c r="N44" s="334">
        <v>0</v>
      </c>
      <c r="O44" s="334">
        <v>0</v>
      </c>
      <c r="P44" s="331"/>
    </row>
    <row r="45" spans="2:16" ht="21.6" customHeight="1" x14ac:dyDescent="0.25">
      <c r="B45" s="330"/>
      <c r="C45" s="331"/>
      <c r="D45" s="331"/>
      <c r="E45" s="331"/>
      <c r="F45" s="331"/>
      <c r="G45" s="330"/>
      <c r="H45" s="330"/>
      <c r="I45" s="330"/>
      <c r="J45" s="330"/>
      <c r="K45" s="330"/>
      <c r="L45" s="330"/>
      <c r="M45" s="330"/>
      <c r="N45" s="330"/>
      <c r="O45" s="330"/>
      <c r="P45" s="331"/>
    </row>
    <row r="46" spans="2:16" ht="21.6" customHeight="1" x14ac:dyDescent="0.25">
      <c r="B46" s="326" t="s">
        <v>303</v>
      </c>
      <c r="C46" s="327" t="s">
        <v>304</v>
      </c>
      <c r="D46" s="328"/>
      <c r="E46" s="328"/>
      <c r="F46" s="328"/>
      <c r="G46" s="329"/>
      <c r="H46" s="329"/>
      <c r="I46" s="329"/>
      <c r="J46" s="329"/>
      <c r="K46" s="329"/>
      <c r="L46" s="329"/>
      <c r="M46" s="329"/>
      <c r="N46" s="329"/>
      <c r="O46" s="329"/>
      <c r="P46" s="328"/>
    </row>
    <row r="47" spans="2:16" ht="21.6" customHeight="1" outlineLevel="1" x14ac:dyDescent="0.25">
      <c r="B47" s="330"/>
      <c r="C47" s="331"/>
      <c r="D47" s="331"/>
      <c r="E47" s="331"/>
      <c r="F47" s="331"/>
      <c r="G47" s="330"/>
      <c r="H47" s="330"/>
      <c r="I47" s="330"/>
      <c r="J47" s="330"/>
      <c r="K47" s="330"/>
      <c r="L47" s="330"/>
      <c r="M47" s="330"/>
      <c r="N47" s="330"/>
      <c r="O47" s="330"/>
      <c r="P47" s="331"/>
    </row>
    <row r="48" spans="2:16" ht="21.6" customHeight="1" outlineLevel="1" x14ac:dyDescent="0.25">
      <c r="B48" s="330"/>
      <c r="C48" s="333" t="s">
        <v>305</v>
      </c>
      <c r="D48" s="334" t="s">
        <v>283</v>
      </c>
      <c r="E48" s="333"/>
      <c r="F48" s="333"/>
      <c r="G48" s="340">
        <f>G15+G37-G44</f>
        <v>2103.1699999999996</v>
      </c>
      <c r="H48" s="340">
        <f t="shared" ref="H48:O48" si="0">H15+H37-H44</f>
        <v>2887.5</v>
      </c>
      <c r="I48" s="340">
        <f t="shared" si="0"/>
        <v>2997.2</v>
      </c>
      <c r="J48" s="340">
        <f t="shared" si="0"/>
        <v>3120.7</v>
      </c>
      <c r="K48" s="340">
        <f t="shared" si="0"/>
        <v>3227.8</v>
      </c>
      <c r="L48" s="340">
        <f t="shared" si="0"/>
        <v>3350.5</v>
      </c>
      <c r="M48" s="340">
        <f t="shared" si="0"/>
        <v>3454.5</v>
      </c>
      <c r="N48" s="340">
        <f t="shared" si="0"/>
        <v>3586.1</v>
      </c>
      <c r="O48" s="340">
        <f t="shared" si="0"/>
        <v>3698.1</v>
      </c>
      <c r="P48" s="331"/>
    </row>
    <row r="49" spans="2:16" ht="21.6" customHeight="1" x14ac:dyDescent="0.25">
      <c r="B49" s="330"/>
      <c r="C49" s="331"/>
      <c r="D49" s="331"/>
      <c r="E49" s="331"/>
      <c r="F49" s="331"/>
      <c r="G49" s="330"/>
      <c r="H49" s="330"/>
      <c r="I49" s="330"/>
      <c r="J49" s="330"/>
      <c r="K49" s="330"/>
      <c r="L49" s="330"/>
      <c r="M49" s="330"/>
      <c r="N49" s="330"/>
      <c r="O49" s="330"/>
      <c r="P49" s="331"/>
    </row>
    <row r="50" spans="2:16" ht="21.6" customHeight="1" x14ac:dyDescent="0.25">
      <c r="B50" s="326" t="s">
        <v>306</v>
      </c>
      <c r="C50" s="327" t="s">
        <v>307</v>
      </c>
      <c r="D50" s="328"/>
      <c r="E50" s="328"/>
      <c r="F50" s="328"/>
      <c r="G50" s="329"/>
      <c r="H50" s="329"/>
      <c r="I50" s="329"/>
      <c r="J50" s="329"/>
      <c r="K50" s="329"/>
      <c r="L50" s="329"/>
      <c r="M50" s="329"/>
      <c r="N50" s="329"/>
      <c r="O50" s="329"/>
      <c r="P50" s="328"/>
    </row>
    <row r="51" spans="2:16" ht="21.6" customHeight="1" outlineLevel="1" x14ac:dyDescent="0.25">
      <c r="B51" s="330"/>
      <c r="C51" s="331"/>
      <c r="D51" s="331"/>
      <c r="E51" s="331"/>
      <c r="F51" s="331"/>
      <c r="G51" s="330"/>
      <c r="H51" s="330"/>
      <c r="I51" s="330"/>
      <c r="J51" s="330"/>
      <c r="K51" s="330"/>
      <c r="L51" s="330"/>
      <c r="M51" s="330"/>
      <c r="N51" s="330"/>
      <c r="O51" s="330"/>
      <c r="P51" s="331"/>
    </row>
    <row r="52" spans="2:16" ht="21.6" customHeight="1" outlineLevel="1" x14ac:dyDescent="0.25">
      <c r="B52" s="330"/>
      <c r="C52" s="333" t="s">
        <v>305</v>
      </c>
      <c r="D52" s="334" t="s">
        <v>283</v>
      </c>
      <c r="E52" s="331"/>
      <c r="F52" s="331"/>
      <c r="G52" s="334">
        <v>155</v>
      </c>
      <c r="H52" s="334">
        <v>215</v>
      </c>
      <c r="I52" s="334">
        <v>226</v>
      </c>
      <c r="J52" s="334">
        <v>235</v>
      </c>
      <c r="K52" s="334">
        <v>244</v>
      </c>
      <c r="L52" s="334">
        <v>254</v>
      </c>
      <c r="M52" s="334">
        <v>264</v>
      </c>
      <c r="N52" s="334">
        <v>274</v>
      </c>
      <c r="O52" s="334">
        <v>285</v>
      </c>
      <c r="P52" s="331"/>
    </row>
    <row r="53" spans="2:16" ht="21.6" customHeight="1" x14ac:dyDescent="0.25">
      <c r="B53" s="330"/>
      <c r="C53" s="331"/>
      <c r="D53" s="331"/>
      <c r="E53" s="331"/>
      <c r="F53" s="331"/>
      <c r="G53" s="330"/>
      <c r="H53" s="330"/>
      <c r="I53" s="330"/>
      <c r="J53" s="330"/>
      <c r="K53" s="330"/>
      <c r="L53" s="330"/>
      <c r="M53" s="330"/>
      <c r="N53" s="330"/>
      <c r="O53" s="330"/>
      <c r="P53" s="331"/>
    </row>
    <row r="54" spans="2:16" ht="21.6" customHeight="1" x14ac:dyDescent="0.25">
      <c r="B54" s="322" t="s">
        <v>187</v>
      </c>
      <c r="C54" s="323" t="s">
        <v>308</v>
      </c>
      <c r="D54" s="324"/>
      <c r="E54" s="324"/>
      <c r="F54" s="324"/>
      <c r="G54" s="325"/>
      <c r="H54" s="325"/>
      <c r="I54" s="325"/>
      <c r="J54" s="325"/>
      <c r="K54" s="325"/>
      <c r="L54" s="325"/>
      <c r="M54" s="325"/>
      <c r="N54" s="325"/>
      <c r="O54" s="325"/>
      <c r="P54" s="324"/>
    </row>
    <row r="55" spans="2:16" ht="21.6" customHeight="1" x14ac:dyDescent="0.25">
      <c r="B55" s="330"/>
      <c r="C55" s="331"/>
      <c r="D55" s="331"/>
      <c r="E55" s="331"/>
      <c r="F55" s="331"/>
      <c r="G55" s="330"/>
      <c r="H55" s="330"/>
      <c r="I55" s="330"/>
      <c r="J55" s="330"/>
      <c r="K55" s="330"/>
      <c r="L55" s="330"/>
      <c r="M55" s="330"/>
      <c r="N55" s="330"/>
      <c r="O55" s="330"/>
      <c r="P55" s="331"/>
    </row>
    <row r="56" spans="2:16" ht="21" customHeight="1" x14ac:dyDescent="0.25">
      <c r="B56" s="326" t="s">
        <v>309</v>
      </c>
      <c r="C56" s="327" t="s">
        <v>281</v>
      </c>
      <c r="D56" s="328"/>
      <c r="E56" s="328"/>
      <c r="F56" s="328"/>
      <c r="G56" s="329"/>
      <c r="H56" s="329"/>
      <c r="I56" s="329"/>
      <c r="J56" s="329"/>
      <c r="K56" s="329"/>
      <c r="L56" s="329"/>
      <c r="M56" s="329"/>
      <c r="N56" s="329"/>
      <c r="O56" s="329"/>
      <c r="P56" s="328"/>
    </row>
    <row r="57" spans="2:16" ht="21" customHeight="1" outlineLevel="1" x14ac:dyDescent="0.25"/>
    <row r="58" spans="2:16" ht="21" customHeight="1" outlineLevel="1" x14ac:dyDescent="0.25">
      <c r="B58" s="331"/>
      <c r="C58" s="331" t="s">
        <v>285</v>
      </c>
      <c r="D58" s="330" t="s">
        <v>283</v>
      </c>
      <c r="E58" s="331"/>
      <c r="F58" s="331"/>
      <c r="G58" s="332">
        <v>2423.6</v>
      </c>
      <c r="H58" s="330"/>
      <c r="I58" s="330"/>
      <c r="J58" s="330"/>
      <c r="K58" s="330"/>
      <c r="L58" s="330"/>
      <c r="M58" s="330"/>
      <c r="N58" s="330"/>
      <c r="O58" s="330"/>
    </row>
    <row r="59" spans="2:16" ht="21" customHeight="1" outlineLevel="1" x14ac:dyDescent="0.25">
      <c r="B59" s="331"/>
      <c r="C59" s="331" t="s">
        <v>293</v>
      </c>
      <c r="D59" s="330" t="s">
        <v>283</v>
      </c>
      <c r="E59" s="331"/>
      <c r="F59" s="331"/>
      <c r="G59" s="332">
        <v>1547.1</v>
      </c>
      <c r="H59" s="330"/>
      <c r="I59" s="330"/>
      <c r="J59" s="330"/>
      <c r="K59" s="330"/>
      <c r="L59" s="330"/>
      <c r="M59" s="330"/>
      <c r="N59" s="330"/>
      <c r="O59" s="330"/>
    </row>
    <row r="60" spans="2:16" ht="21.6" customHeight="1" outlineLevel="1" x14ac:dyDescent="0.25">
      <c r="B60" s="330"/>
      <c r="C60" s="342" t="s">
        <v>310</v>
      </c>
      <c r="D60" s="330" t="s">
        <v>283</v>
      </c>
      <c r="E60" s="331"/>
      <c r="F60" s="331"/>
      <c r="G60" s="332">
        <v>683.5</v>
      </c>
      <c r="H60" s="330"/>
      <c r="I60" s="330"/>
      <c r="J60" s="330"/>
      <c r="K60" s="330"/>
      <c r="L60" s="330"/>
      <c r="M60" s="330"/>
      <c r="N60" s="330"/>
      <c r="O60" s="330"/>
      <c r="P60" s="331"/>
    </row>
    <row r="61" spans="2:16" ht="21.6" customHeight="1" outlineLevel="1" x14ac:dyDescent="0.25">
      <c r="B61" s="330"/>
      <c r="C61" s="342" t="s">
        <v>311</v>
      </c>
      <c r="D61" s="330" t="s">
        <v>283</v>
      </c>
      <c r="E61" s="331"/>
      <c r="F61" s="331"/>
      <c r="G61" s="332">
        <v>590</v>
      </c>
      <c r="H61" s="330"/>
      <c r="I61" s="330"/>
      <c r="J61" s="330"/>
      <c r="K61" s="330"/>
      <c r="L61" s="330"/>
      <c r="M61" s="330"/>
      <c r="N61" s="330"/>
      <c r="O61" s="330"/>
      <c r="P61" s="331"/>
    </row>
    <row r="62" spans="2:16" ht="21.6" customHeight="1" outlineLevel="1" x14ac:dyDescent="0.25">
      <c r="B62" s="330"/>
      <c r="C62" s="342" t="s">
        <v>284</v>
      </c>
      <c r="D62" s="330" t="s">
        <v>283</v>
      </c>
      <c r="E62" s="331"/>
      <c r="F62" s="331"/>
      <c r="G62" s="332">
        <v>312.39999999999998</v>
      </c>
      <c r="H62" s="330"/>
      <c r="I62" s="330"/>
      <c r="J62" s="330"/>
      <c r="K62" s="330"/>
      <c r="L62" s="330"/>
      <c r="M62" s="330"/>
      <c r="N62" s="330"/>
      <c r="O62" s="330"/>
      <c r="P62" s="331"/>
    </row>
    <row r="63" spans="2:16" ht="21.6" customHeight="1" outlineLevel="1" x14ac:dyDescent="0.25">
      <c r="B63" s="330"/>
      <c r="C63" s="342" t="s">
        <v>300</v>
      </c>
      <c r="D63" s="330"/>
      <c r="E63" s="331"/>
      <c r="F63" s="331"/>
      <c r="G63" s="332"/>
      <c r="H63" s="330"/>
      <c r="I63" s="330"/>
      <c r="J63" s="330"/>
      <c r="K63" s="330"/>
      <c r="L63" s="330"/>
      <c r="M63" s="330"/>
      <c r="N63" s="330"/>
      <c r="O63" s="330"/>
      <c r="P63" s="331"/>
    </row>
    <row r="64" spans="2:16" ht="21.6" customHeight="1" outlineLevel="1" x14ac:dyDescent="0.25">
      <c r="B64" s="330"/>
      <c r="C64" s="339" t="s">
        <v>286</v>
      </c>
      <c r="D64" s="334" t="s">
        <v>283</v>
      </c>
      <c r="E64" s="331"/>
      <c r="F64" s="331"/>
      <c r="G64" s="340">
        <f>SUM(G58:G63)</f>
        <v>5556.5999999999995</v>
      </c>
      <c r="H64" s="334">
        <v>5751</v>
      </c>
      <c r="I64" s="334">
        <v>6033</v>
      </c>
      <c r="J64" s="334">
        <v>6274</v>
      </c>
      <c r="K64" s="334">
        <v>6525</v>
      </c>
      <c r="L64" s="334">
        <v>6786</v>
      </c>
      <c r="M64" s="334">
        <v>7058</v>
      </c>
      <c r="N64" s="334">
        <v>7340</v>
      </c>
      <c r="O64" s="334">
        <v>7633</v>
      </c>
      <c r="P64" s="331">
        <v>7633</v>
      </c>
    </row>
    <row r="65" spans="2:25" ht="21.6" customHeight="1" x14ac:dyDescent="0.25">
      <c r="B65" s="330"/>
      <c r="C65" s="331"/>
      <c r="D65" s="331"/>
      <c r="E65" s="331"/>
      <c r="F65" s="331"/>
      <c r="G65" s="330"/>
      <c r="H65" s="330"/>
      <c r="I65" s="330"/>
      <c r="J65" s="330"/>
      <c r="K65" s="330"/>
      <c r="L65" s="330"/>
      <c r="M65" s="330"/>
      <c r="N65" s="330"/>
      <c r="O65" s="330"/>
      <c r="P65" s="331"/>
    </row>
    <row r="66" spans="2:25" ht="21.6" customHeight="1" x14ac:dyDescent="0.25">
      <c r="B66" s="326" t="s">
        <v>312</v>
      </c>
      <c r="C66" s="327" t="s">
        <v>288</v>
      </c>
      <c r="D66" s="328"/>
      <c r="E66" s="328"/>
      <c r="F66" s="328"/>
      <c r="G66" s="329"/>
      <c r="H66" s="329"/>
      <c r="I66" s="329"/>
      <c r="J66" s="329"/>
      <c r="K66" s="329"/>
      <c r="L66" s="329"/>
      <c r="M66" s="329"/>
      <c r="N66" s="329"/>
      <c r="O66" s="329"/>
      <c r="P66" s="328"/>
    </row>
    <row r="67" spans="2:25" ht="21.6" customHeight="1" outlineLevel="1" x14ac:dyDescent="0.25">
      <c r="B67" s="330"/>
      <c r="C67" s="331"/>
      <c r="D67" s="331"/>
      <c r="E67" s="331"/>
      <c r="F67" s="331"/>
      <c r="G67" s="330"/>
      <c r="H67" s="330"/>
      <c r="I67" s="330"/>
      <c r="J67" s="330"/>
      <c r="K67" s="330"/>
      <c r="L67" s="330"/>
      <c r="M67" s="330"/>
      <c r="N67" s="330"/>
      <c r="O67" s="330"/>
      <c r="P67" s="331"/>
    </row>
    <row r="68" spans="2:25" ht="21.6" customHeight="1" outlineLevel="1" x14ac:dyDescent="0.25">
      <c r="B68" s="330"/>
      <c r="C68" s="331" t="s">
        <v>359</v>
      </c>
      <c r="D68" s="330" t="s">
        <v>283</v>
      </c>
      <c r="E68" s="331"/>
      <c r="F68" s="331"/>
      <c r="G68" s="332">
        <v>368.2</v>
      </c>
      <c r="H68" s="330"/>
      <c r="I68" s="330"/>
      <c r="J68" s="330"/>
      <c r="K68" s="330"/>
      <c r="L68" s="330"/>
      <c r="M68" s="330"/>
      <c r="N68" s="330"/>
      <c r="O68" s="330"/>
      <c r="P68" s="331"/>
    </row>
    <row r="69" spans="2:25" ht="21.6" customHeight="1" outlineLevel="1" x14ac:dyDescent="0.25">
      <c r="B69" s="330"/>
      <c r="C69" s="331" t="s">
        <v>360</v>
      </c>
      <c r="D69" s="330" t="s">
        <v>283</v>
      </c>
      <c r="E69" s="331"/>
      <c r="F69" s="331"/>
      <c r="G69" s="332">
        <v>245.5</v>
      </c>
      <c r="H69" s="330"/>
      <c r="I69" s="330"/>
      <c r="J69" s="330"/>
      <c r="K69" s="330"/>
      <c r="L69" s="330"/>
      <c r="M69" s="330"/>
      <c r="N69" s="330"/>
      <c r="O69" s="330"/>
      <c r="P69" s="331"/>
      <c r="Y69" s="315" t="s">
        <v>361</v>
      </c>
    </row>
    <row r="70" spans="2:25" ht="21.6" customHeight="1" outlineLevel="1" x14ac:dyDescent="0.25">
      <c r="B70" s="330"/>
      <c r="C70" s="331" t="s">
        <v>362</v>
      </c>
      <c r="D70" s="330" t="s">
        <v>283</v>
      </c>
      <c r="E70" s="331"/>
      <c r="F70" s="331"/>
      <c r="G70" s="332">
        <v>112</v>
      </c>
      <c r="H70" s="330"/>
      <c r="I70" s="330"/>
      <c r="J70" s="330"/>
      <c r="K70" s="330"/>
      <c r="L70" s="330"/>
      <c r="M70" s="330"/>
      <c r="N70" s="330"/>
      <c r="O70" s="330"/>
      <c r="P70" s="331"/>
    </row>
    <row r="71" spans="2:25" ht="21.6" customHeight="1" outlineLevel="1" x14ac:dyDescent="0.25">
      <c r="B71" s="330"/>
      <c r="C71" s="331" t="s">
        <v>313</v>
      </c>
      <c r="D71" s="330" t="s">
        <v>283</v>
      </c>
      <c r="E71" s="331"/>
      <c r="F71" s="331"/>
      <c r="G71" s="332">
        <v>87.2</v>
      </c>
      <c r="H71" s="330"/>
      <c r="I71" s="330"/>
      <c r="J71" s="330"/>
      <c r="K71" s="330"/>
      <c r="L71" s="330"/>
      <c r="M71" s="330"/>
      <c r="N71" s="330"/>
      <c r="O71" s="330"/>
      <c r="P71" s="331"/>
    </row>
    <row r="72" spans="2:25" ht="21.6" customHeight="1" outlineLevel="1" x14ac:dyDescent="0.25">
      <c r="B72" s="330"/>
      <c r="C72" s="331" t="s">
        <v>351</v>
      </c>
      <c r="D72" s="330" t="s">
        <v>283</v>
      </c>
      <c r="E72" s="331"/>
      <c r="F72" s="331"/>
      <c r="G72" s="332">
        <v>86.7</v>
      </c>
      <c r="H72" s="330"/>
      <c r="I72" s="330"/>
      <c r="J72" s="330"/>
      <c r="K72" s="330"/>
      <c r="L72" s="330"/>
      <c r="M72" s="330"/>
      <c r="N72" s="330"/>
      <c r="O72" s="330"/>
      <c r="P72" s="331"/>
    </row>
    <row r="73" spans="2:25" ht="21.6" customHeight="1" outlineLevel="1" x14ac:dyDescent="0.25">
      <c r="B73" s="330"/>
      <c r="C73" s="331" t="s">
        <v>352</v>
      </c>
      <c r="D73" s="330" t="s">
        <v>283</v>
      </c>
      <c r="E73" s="331"/>
      <c r="F73" s="331"/>
      <c r="G73" s="332">
        <v>63</v>
      </c>
      <c r="H73" s="330"/>
      <c r="I73" s="330"/>
      <c r="J73" s="330"/>
      <c r="K73" s="330"/>
      <c r="L73" s="330"/>
      <c r="M73" s="330"/>
      <c r="N73" s="330"/>
      <c r="O73" s="330"/>
      <c r="P73" s="331"/>
    </row>
    <row r="74" spans="2:25" ht="21.6" customHeight="1" outlineLevel="1" x14ac:dyDescent="0.25">
      <c r="B74" s="330"/>
      <c r="C74" s="331" t="s">
        <v>363</v>
      </c>
      <c r="D74" s="330" t="s">
        <v>283</v>
      </c>
      <c r="E74" s="331"/>
      <c r="F74" s="331"/>
      <c r="G74" s="332">
        <v>57.3</v>
      </c>
      <c r="H74" s="330"/>
      <c r="I74" s="330"/>
      <c r="J74" s="330"/>
      <c r="K74" s="330"/>
      <c r="L74" s="330"/>
      <c r="M74" s="330"/>
      <c r="N74" s="330"/>
      <c r="O74" s="330"/>
      <c r="P74" s="331"/>
    </row>
    <row r="75" spans="2:25" ht="21.6" customHeight="1" outlineLevel="1" x14ac:dyDescent="0.25">
      <c r="B75" s="330"/>
      <c r="C75" s="331" t="s">
        <v>353</v>
      </c>
      <c r="D75" s="330" t="s">
        <v>283</v>
      </c>
      <c r="E75" s="331"/>
      <c r="F75" s="331"/>
      <c r="G75" s="332">
        <v>46.6</v>
      </c>
      <c r="H75" s="330"/>
      <c r="I75" s="330"/>
      <c r="J75" s="330"/>
      <c r="K75" s="330"/>
      <c r="L75" s="330"/>
      <c r="M75" s="330"/>
      <c r="N75" s="330"/>
      <c r="O75" s="330"/>
      <c r="P75" s="331"/>
    </row>
    <row r="76" spans="2:25" ht="21.6" customHeight="1" outlineLevel="1" x14ac:dyDescent="0.25">
      <c r="B76" s="330"/>
      <c r="C76" s="331" t="s">
        <v>314</v>
      </c>
      <c r="D76" s="330" t="s">
        <v>283</v>
      </c>
      <c r="E76" s="331"/>
      <c r="F76" s="331"/>
      <c r="G76" s="332">
        <v>45.2</v>
      </c>
      <c r="H76" s="330"/>
      <c r="I76" s="330"/>
      <c r="J76" s="330"/>
      <c r="K76" s="330"/>
      <c r="L76" s="330"/>
      <c r="M76" s="330"/>
      <c r="N76" s="330"/>
      <c r="O76" s="330"/>
      <c r="P76" s="331"/>
    </row>
    <row r="77" spans="2:25" ht="21.6" customHeight="1" outlineLevel="1" x14ac:dyDescent="0.25">
      <c r="B77" s="330"/>
      <c r="C77" s="331" t="s">
        <v>364</v>
      </c>
      <c r="D77" s="330" t="s">
        <v>283</v>
      </c>
      <c r="E77" s="331"/>
      <c r="F77" s="331"/>
      <c r="G77" s="332">
        <v>26.4</v>
      </c>
      <c r="H77" s="330"/>
      <c r="I77" s="330"/>
      <c r="J77" s="330"/>
      <c r="K77" s="330"/>
      <c r="L77" s="330"/>
      <c r="M77" s="330"/>
      <c r="N77" s="330"/>
      <c r="O77" s="330"/>
      <c r="P77" s="331"/>
    </row>
    <row r="78" spans="2:25" ht="21.6" customHeight="1" outlineLevel="1" x14ac:dyDescent="0.25">
      <c r="B78" s="330"/>
      <c r="C78" s="331" t="s">
        <v>292</v>
      </c>
      <c r="D78" s="330" t="s">
        <v>283</v>
      </c>
      <c r="E78" s="331"/>
      <c r="F78" s="331"/>
      <c r="G78" s="332">
        <v>24.4</v>
      </c>
      <c r="H78" s="330"/>
      <c r="I78" s="330"/>
      <c r="J78" s="330"/>
      <c r="K78" s="330"/>
      <c r="L78" s="330"/>
      <c r="M78" s="330"/>
      <c r="N78" s="330"/>
      <c r="O78" s="330"/>
      <c r="P78" s="331"/>
    </row>
    <row r="79" spans="2:25" ht="21.6" customHeight="1" outlineLevel="1" x14ac:dyDescent="0.25">
      <c r="B79" s="330"/>
      <c r="C79" s="331" t="s">
        <v>365</v>
      </c>
      <c r="D79" s="330" t="s">
        <v>283</v>
      </c>
      <c r="E79" s="331"/>
      <c r="F79" s="331"/>
      <c r="G79" s="332">
        <v>20.7</v>
      </c>
      <c r="H79" s="330"/>
      <c r="I79" s="330"/>
      <c r="J79" s="330"/>
      <c r="K79" s="330"/>
      <c r="L79" s="330"/>
      <c r="M79" s="330"/>
      <c r="N79" s="330"/>
      <c r="O79" s="330"/>
      <c r="P79" s="331"/>
    </row>
    <row r="80" spans="2:25" ht="21.6" customHeight="1" outlineLevel="1" x14ac:dyDescent="0.25">
      <c r="B80" s="330"/>
      <c r="C80" s="331" t="s">
        <v>366</v>
      </c>
      <c r="D80" s="330" t="s">
        <v>283</v>
      </c>
      <c r="E80" s="331"/>
      <c r="F80" s="331"/>
      <c r="G80" s="332">
        <v>18.2</v>
      </c>
      <c r="H80" s="330"/>
      <c r="I80" s="330"/>
      <c r="J80" s="330"/>
      <c r="K80" s="330"/>
      <c r="L80" s="330"/>
      <c r="M80" s="330"/>
      <c r="N80" s="330"/>
      <c r="O80" s="330"/>
      <c r="P80" s="331"/>
    </row>
    <row r="81" spans="2:16" ht="21.6" customHeight="1" outlineLevel="1" x14ac:dyDescent="0.25">
      <c r="B81" s="330"/>
      <c r="C81" s="331" t="s">
        <v>367</v>
      </c>
      <c r="D81" s="330" t="s">
        <v>283</v>
      </c>
      <c r="E81" s="331"/>
      <c r="F81" s="331"/>
      <c r="G81" s="332">
        <v>18.100000000000001</v>
      </c>
      <c r="H81" s="330"/>
      <c r="I81" s="330"/>
      <c r="J81" s="330"/>
      <c r="K81" s="330"/>
      <c r="L81" s="330"/>
      <c r="M81" s="330"/>
      <c r="N81" s="330"/>
      <c r="O81" s="330"/>
      <c r="P81" s="331"/>
    </row>
    <row r="82" spans="2:16" ht="21.6" customHeight="1" outlineLevel="1" x14ac:dyDescent="0.25">
      <c r="B82" s="330"/>
      <c r="C82" s="335" t="s">
        <v>368</v>
      </c>
      <c r="D82" s="330" t="s">
        <v>283</v>
      </c>
      <c r="E82" s="331"/>
      <c r="F82" s="331"/>
      <c r="G82" s="332">
        <v>16.3</v>
      </c>
      <c r="H82" s="330"/>
      <c r="I82" s="330"/>
      <c r="J82" s="330"/>
      <c r="K82" s="330"/>
      <c r="L82" s="330"/>
      <c r="M82" s="330"/>
      <c r="N82" s="330"/>
      <c r="O82" s="330"/>
      <c r="P82" s="331"/>
    </row>
    <row r="83" spans="2:16" ht="21.6" customHeight="1" outlineLevel="1" x14ac:dyDescent="0.25">
      <c r="B83" s="330"/>
      <c r="C83" s="335" t="s">
        <v>369</v>
      </c>
      <c r="D83" s="330" t="s">
        <v>283</v>
      </c>
      <c r="E83" s="331"/>
      <c r="F83" s="331"/>
      <c r="G83" s="332">
        <v>14.9</v>
      </c>
      <c r="H83" s="330"/>
      <c r="I83" s="330"/>
      <c r="J83" s="330"/>
      <c r="K83" s="330"/>
      <c r="L83" s="330"/>
      <c r="M83" s="330"/>
      <c r="N83" s="330"/>
      <c r="O83" s="330"/>
      <c r="P83" s="331"/>
    </row>
    <row r="84" spans="2:16" ht="21.6" customHeight="1" outlineLevel="1" x14ac:dyDescent="0.25">
      <c r="B84" s="330"/>
      <c r="C84" s="335" t="s">
        <v>315</v>
      </c>
      <c r="D84" s="330" t="s">
        <v>283</v>
      </c>
      <c r="E84" s="331"/>
      <c r="F84" s="331"/>
      <c r="G84" s="332">
        <v>11.5</v>
      </c>
      <c r="H84" s="330"/>
      <c r="I84" s="330"/>
      <c r="J84" s="330"/>
      <c r="K84" s="330"/>
      <c r="L84" s="330"/>
      <c r="M84" s="330"/>
      <c r="N84" s="330"/>
      <c r="O84" s="330"/>
      <c r="P84" s="331"/>
    </row>
    <row r="85" spans="2:16" ht="21.6" customHeight="1" outlineLevel="1" x14ac:dyDescent="0.25">
      <c r="B85" s="330"/>
      <c r="C85" s="344" t="s">
        <v>300</v>
      </c>
      <c r="D85" s="330" t="s">
        <v>283</v>
      </c>
      <c r="E85" s="331"/>
      <c r="F85" s="331"/>
      <c r="G85" s="332">
        <f>G86-SUM(G68:G84)</f>
        <v>159.35999999999967</v>
      </c>
      <c r="H85" s="330"/>
      <c r="I85" s="330"/>
      <c r="J85" s="330"/>
      <c r="K85" s="330"/>
      <c r="L85" s="330"/>
      <c r="M85" s="330"/>
      <c r="N85" s="330"/>
      <c r="O85" s="330"/>
      <c r="P85" s="331"/>
    </row>
    <row r="86" spans="2:16" ht="21.6" customHeight="1" outlineLevel="1" x14ac:dyDescent="0.25">
      <c r="B86" s="330"/>
      <c r="C86" s="339" t="s">
        <v>286</v>
      </c>
      <c r="D86" s="334" t="s">
        <v>283</v>
      </c>
      <c r="E86" s="331"/>
      <c r="F86" s="331"/>
      <c r="G86" s="340">
        <v>1421.56</v>
      </c>
      <c r="H86" s="340">
        <v>1032.8</v>
      </c>
      <c r="I86" s="340">
        <v>1036.8</v>
      </c>
      <c r="J86" s="340">
        <v>1047.5999999999999</v>
      </c>
      <c r="K86" s="340">
        <v>1063.8</v>
      </c>
      <c r="L86" s="340">
        <v>1063.8</v>
      </c>
      <c r="M86" s="340">
        <v>1063.8</v>
      </c>
      <c r="N86" s="340">
        <v>1063.8</v>
      </c>
      <c r="O86" s="340">
        <v>1063.8</v>
      </c>
      <c r="P86" s="331"/>
    </row>
    <row r="87" spans="2:16" ht="21.6" customHeight="1" x14ac:dyDescent="0.25">
      <c r="B87" s="330"/>
      <c r="C87" s="331"/>
      <c r="D87" s="331"/>
      <c r="E87" s="331"/>
      <c r="F87" s="331"/>
      <c r="G87" s="330"/>
      <c r="H87" s="330"/>
      <c r="I87" s="330"/>
      <c r="J87" s="330"/>
      <c r="K87" s="330"/>
      <c r="L87" s="330"/>
      <c r="M87" s="330"/>
      <c r="N87" s="330"/>
      <c r="O87" s="330"/>
      <c r="P87" s="331"/>
    </row>
    <row r="88" spans="2:16" ht="21.6" customHeight="1" x14ac:dyDescent="0.25">
      <c r="B88" s="326" t="s">
        <v>322</v>
      </c>
      <c r="C88" s="327" t="s">
        <v>323</v>
      </c>
      <c r="D88" s="328"/>
      <c r="E88" s="328"/>
      <c r="F88" s="328"/>
      <c r="G88" s="329"/>
      <c r="H88" s="329"/>
      <c r="I88" s="329"/>
      <c r="J88" s="329"/>
      <c r="K88" s="329"/>
      <c r="L88" s="329"/>
      <c r="M88" s="329"/>
      <c r="N88" s="329"/>
      <c r="O88" s="329"/>
      <c r="P88" s="328"/>
    </row>
    <row r="89" spans="2:16" ht="21.6" customHeight="1" outlineLevel="2" x14ac:dyDescent="0.25">
      <c r="B89" s="330"/>
      <c r="C89" s="331"/>
      <c r="D89" s="331"/>
      <c r="E89" s="331"/>
      <c r="F89" s="331"/>
      <c r="G89" s="330"/>
      <c r="H89" s="330"/>
      <c r="I89" s="330"/>
      <c r="J89" s="330"/>
      <c r="K89" s="330"/>
      <c r="L89" s="330"/>
      <c r="M89" s="330"/>
      <c r="N89" s="330"/>
      <c r="O89" s="330"/>
      <c r="P89" s="331"/>
    </row>
    <row r="90" spans="2:16" ht="21.6" customHeight="1" outlineLevel="2" x14ac:dyDescent="0.25">
      <c r="B90" s="330"/>
      <c r="C90" s="331" t="s">
        <v>282</v>
      </c>
      <c r="D90" s="331"/>
      <c r="E90" s="331"/>
      <c r="F90" s="331"/>
      <c r="G90" s="336">
        <v>54.51</v>
      </c>
      <c r="H90" s="330"/>
      <c r="I90" s="330"/>
      <c r="J90" s="330"/>
      <c r="K90" s="330"/>
      <c r="L90" s="330"/>
      <c r="M90" s="330"/>
      <c r="N90" s="330"/>
      <c r="O90" s="330"/>
      <c r="P90" s="331"/>
    </row>
    <row r="91" spans="2:16" ht="21.6" customHeight="1" outlineLevel="2" x14ac:dyDescent="0.25">
      <c r="B91" s="330"/>
      <c r="C91" s="342" t="s">
        <v>293</v>
      </c>
      <c r="D91" s="331"/>
      <c r="E91" s="331"/>
      <c r="F91" s="331"/>
      <c r="G91" s="336">
        <v>16.39</v>
      </c>
      <c r="H91" s="330"/>
      <c r="I91" s="330"/>
      <c r="J91" s="330"/>
      <c r="K91" s="330"/>
      <c r="L91" s="330"/>
      <c r="M91" s="330"/>
      <c r="N91" s="330"/>
      <c r="O91" s="330"/>
      <c r="P91" s="331"/>
    </row>
    <row r="92" spans="2:16" ht="21.6" customHeight="1" outlineLevel="2" x14ac:dyDescent="0.25">
      <c r="B92" s="330"/>
      <c r="C92" s="342" t="s">
        <v>310</v>
      </c>
      <c r="D92" s="331"/>
      <c r="E92" s="331"/>
      <c r="F92" s="331"/>
      <c r="G92" s="336">
        <v>10.81</v>
      </c>
      <c r="H92" s="330"/>
      <c r="I92" s="330"/>
      <c r="J92" s="330"/>
      <c r="K92" s="330"/>
      <c r="L92" s="330"/>
      <c r="M92" s="330"/>
      <c r="N92" s="330"/>
      <c r="O92" s="330"/>
      <c r="P92" s="331"/>
    </row>
    <row r="93" spans="2:16" ht="21.6" customHeight="1" outlineLevel="2" x14ac:dyDescent="0.25">
      <c r="B93" s="330"/>
      <c r="C93" s="344" t="s">
        <v>338</v>
      </c>
      <c r="D93" s="330" t="s">
        <v>283</v>
      </c>
      <c r="E93" s="331"/>
      <c r="F93" s="331"/>
      <c r="G93" s="336">
        <v>4.6100000000000003</v>
      </c>
      <c r="H93" s="330"/>
      <c r="I93" s="330"/>
      <c r="J93" s="330"/>
      <c r="K93" s="330"/>
      <c r="L93" s="330"/>
      <c r="M93" s="330"/>
      <c r="N93" s="330"/>
      <c r="O93" s="330"/>
      <c r="P93" s="331"/>
    </row>
    <row r="94" spans="2:16" ht="21.6" customHeight="1" outlineLevel="2" x14ac:dyDescent="0.25">
      <c r="B94" s="330"/>
      <c r="C94" s="341" t="s">
        <v>300</v>
      </c>
      <c r="D94" s="330" t="s">
        <v>283</v>
      </c>
      <c r="E94" s="331"/>
      <c r="F94" s="331"/>
      <c r="G94" s="336">
        <v>17.29</v>
      </c>
      <c r="H94" s="330"/>
      <c r="I94" s="330"/>
      <c r="J94" s="330"/>
      <c r="K94" s="330"/>
      <c r="L94" s="330"/>
      <c r="M94" s="330"/>
      <c r="N94" s="330"/>
      <c r="O94" s="330"/>
      <c r="P94" s="331"/>
    </row>
    <row r="95" spans="2:16" ht="21.6" customHeight="1" outlineLevel="2" x14ac:dyDescent="0.25">
      <c r="B95" s="330"/>
      <c r="C95" s="341"/>
      <c r="D95" s="330" t="s">
        <v>283</v>
      </c>
      <c r="E95" s="331"/>
      <c r="F95" s="331"/>
      <c r="G95" s="336"/>
      <c r="H95" s="330"/>
      <c r="I95" s="330"/>
      <c r="J95" s="330"/>
      <c r="K95" s="330"/>
      <c r="L95" s="330"/>
      <c r="M95" s="330"/>
      <c r="N95" s="330"/>
      <c r="O95" s="330"/>
      <c r="P95" s="331"/>
    </row>
    <row r="96" spans="2:16" ht="21.6" customHeight="1" outlineLevel="2" x14ac:dyDescent="0.25">
      <c r="B96" s="330"/>
      <c r="C96" s="339" t="s">
        <v>286</v>
      </c>
      <c r="D96" s="330" t="s">
        <v>283</v>
      </c>
      <c r="E96" s="331"/>
      <c r="F96" s="331"/>
      <c r="G96" s="340">
        <v>103.61</v>
      </c>
      <c r="H96" s="340">
        <v>114.8</v>
      </c>
      <c r="I96" s="340">
        <v>115.2</v>
      </c>
      <c r="J96" s="340">
        <v>116.4</v>
      </c>
      <c r="K96" s="340">
        <v>118.2</v>
      </c>
      <c r="L96" s="340">
        <v>118.2</v>
      </c>
      <c r="M96" s="340">
        <v>118.2</v>
      </c>
      <c r="N96" s="340">
        <v>118.2</v>
      </c>
      <c r="O96" s="340">
        <v>118.2</v>
      </c>
      <c r="P96" s="331"/>
    </row>
    <row r="97" spans="2:16" ht="21.6" customHeight="1" outlineLevel="2" x14ac:dyDescent="0.25">
      <c r="B97" s="330"/>
      <c r="C97" s="333"/>
      <c r="D97" s="334"/>
      <c r="E97" s="331"/>
      <c r="F97" s="331"/>
      <c r="G97" s="334"/>
      <c r="H97" s="334"/>
      <c r="I97" s="334"/>
      <c r="J97" s="334"/>
      <c r="K97" s="334"/>
      <c r="L97" s="334"/>
      <c r="M97" s="334"/>
      <c r="N97" s="334"/>
      <c r="O97" s="334"/>
      <c r="P97" s="331"/>
    </row>
    <row r="98" spans="2:16" ht="21.6" customHeight="1" outlineLevel="2" x14ac:dyDescent="0.25">
      <c r="B98" s="326" t="s">
        <v>324</v>
      </c>
      <c r="C98" s="327" t="s">
        <v>325</v>
      </c>
      <c r="D98" s="328"/>
      <c r="E98" s="328"/>
      <c r="F98" s="328"/>
      <c r="G98" s="329"/>
      <c r="H98" s="329"/>
      <c r="I98" s="329"/>
      <c r="J98" s="329"/>
      <c r="K98" s="329"/>
      <c r="L98" s="329"/>
      <c r="M98" s="329"/>
      <c r="N98" s="329"/>
      <c r="O98" s="329"/>
      <c r="P98" s="328"/>
    </row>
    <row r="99" spans="2:16" ht="21.6" customHeight="1" x14ac:dyDescent="0.25">
      <c r="B99" s="330"/>
      <c r="C99" s="331"/>
      <c r="D99" s="331"/>
      <c r="E99" s="331"/>
      <c r="F99" s="331"/>
      <c r="G99" s="330"/>
      <c r="H99" s="330"/>
      <c r="I99" s="330"/>
      <c r="J99" s="330"/>
      <c r="K99" s="330"/>
      <c r="L99" s="330"/>
      <c r="M99" s="330"/>
      <c r="N99" s="330"/>
      <c r="O99" s="330"/>
      <c r="P99" s="331"/>
    </row>
    <row r="100" spans="2:16" ht="21.6" customHeight="1" x14ac:dyDescent="0.25">
      <c r="B100" s="330"/>
      <c r="C100" s="333" t="s">
        <v>286</v>
      </c>
      <c r="D100" s="334" t="s">
        <v>283</v>
      </c>
      <c r="E100" s="331"/>
      <c r="F100" s="331"/>
      <c r="G100" s="334">
        <v>1384</v>
      </c>
      <c r="H100" s="334">
        <v>2250</v>
      </c>
      <c r="I100" s="334">
        <v>2259</v>
      </c>
      <c r="J100" s="334">
        <v>2292</v>
      </c>
      <c r="K100" s="334">
        <v>2328</v>
      </c>
      <c r="L100" s="334">
        <v>2337</v>
      </c>
      <c r="M100" s="334">
        <v>2337</v>
      </c>
      <c r="N100" s="334">
        <v>2347</v>
      </c>
      <c r="O100" s="334">
        <v>2347</v>
      </c>
      <c r="P100" s="331"/>
    </row>
    <row r="101" spans="2:16" ht="21.6" customHeight="1" x14ac:dyDescent="0.25"/>
    <row r="102" spans="2:16" ht="21.6" customHeight="1" x14ac:dyDescent="0.25">
      <c r="B102" s="326" t="s">
        <v>326</v>
      </c>
      <c r="C102" s="327" t="s">
        <v>304</v>
      </c>
      <c r="D102" s="328"/>
      <c r="E102" s="328"/>
      <c r="F102" s="328"/>
      <c r="G102" s="329"/>
      <c r="H102" s="329"/>
      <c r="I102" s="329"/>
      <c r="J102" s="329"/>
      <c r="K102" s="329"/>
      <c r="L102" s="329"/>
      <c r="M102" s="329"/>
      <c r="N102" s="329"/>
      <c r="O102" s="329"/>
      <c r="P102" s="328"/>
    </row>
    <row r="103" spans="2:16" ht="21.6" customHeight="1" outlineLevel="1" x14ac:dyDescent="0.25">
      <c r="B103" s="330"/>
      <c r="C103" s="331"/>
      <c r="D103" s="331"/>
      <c r="E103" s="331"/>
      <c r="F103" s="331"/>
      <c r="G103" s="330"/>
      <c r="H103" s="330"/>
      <c r="I103" s="330"/>
      <c r="J103" s="330"/>
      <c r="K103" s="330"/>
      <c r="L103" s="330"/>
      <c r="M103" s="330"/>
      <c r="N103" s="330"/>
      <c r="O103" s="330"/>
      <c r="P103" s="331"/>
    </row>
    <row r="104" spans="2:16" ht="21.6" customHeight="1" outlineLevel="1" x14ac:dyDescent="0.25">
      <c r="B104" s="330"/>
      <c r="C104" s="333" t="s">
        <v>305</v>
      </c>
      <c r="D104" s="334" t="s">
        <v>283</v>
      </c>
      <c r="E104" s="333"/>
      <c r="F104" s="333"/>
      <c r="G104" s="340">
        <f>G64+G86-G96+G100</f>
        <v>8258.5499999999993</v>
      </c>
      <c r="H104" s="340">
        <f t="shared" ref="H104:O104" si="1">H64+H86-H96+H100</f>
        <v>8919</v>
      </c>
      <c r="I104" s="340">
        <f t="shared" si="1"/>
        <v>9213.6</v>
      </c>
      <c r="J104" s="340">
        <f t="shared" si="1"/>
        <v>9497.2000000000007</v>
      </c>
      <c r="K104" s="340">
        <f t="shared" si="1"/>
        <v>9798.6</v>
      </c>
      <c r="L104" s="340">
        <f t="shared" si="1"/>
        <v>10068.6</v>
      </c>
      <c r="M104" s="340">
        <f t="shared" si="1"/>
        <v>10340.6</v>
      </c>
      <c r="N104" s="340">
        <f t="shared" si="1"/>
        <v>10632.599999999999</v>
      </c>
      <c r="O104" s="340">
        <f t="shared" si="1"/>
        <v>10925.599999999999</v>
      </c>
      <c r="P104" s="331"/>
    </row>
    <row r="105" spans="2:16" ht="21.6" customHeight="1" x14ac:dyDescent="0.25">
      <c r="B105" s="330"/>
      <c r="C105" s="331"/>
      <c r="D105" s="331"/>
      <c r="E105" s="331"/>
      <c r="F105" s="331"/>
      <c r="G105" s="330"/>
      <c r="H105" s="330"/>
      <c r="I105" s="330"/>
      <c r="J105" s="330"/>
      <c r="K105" s="330"/>
      <c r="L105" s="330"/>
      <c r="M105" s="330"/>
      <c r="N105" s="330"/>
      <c r="O105" s="330"/>
      <c r="P105" s="331"/>
    </row>
    <row r="106" spans="2:16" ht="21.6" customHeight="1" x14ac:dyDescent="0.25">
      <c r="B106" s="326" t="s">
        <v>327</v>
      </c>
      <c r="C106" s="327" t="s">
        <v>328</v>
      </c>
      <c r="D106" s="328"/>
      <c r="E106" s="328"/>
      <c r="F106" s="328"/>
      <c r="G106" s="329"/>
      <c r="H106" s="329"/>
      <c r="I106" s="329"/>
      <c r="J106" s="329"/>
      <c r="K106" s="329"/>
      <c r="L106" s="329"/>
      <c r="M106" s="329"/>
      <c r="N106" s="329"/>
      <c r="O106" s="329"/>
      <c r="P106" s="328"/>
    </row>
    <row r="107" spans="2:16" ht="21.6" customHeight="1" outlineLevel="1" x14ac:dyDescent="0.25">
      <c r="B107" s="330"/>
      <c r="C107" s="331"/>
      <c r="D107" s="331"/>
      <c r="E107" s="331"/>
      <c r="F107" s="331"/>
      <c r="G107" s="330"/>
      <c r="H107" s="330"/>
      <c r="I107" s="330"/>
      <c r="J107" s="330"/>
      <c r="K107" s="330"/>
      <c r="L107" s="330"/>
      <c r="M107" s="330"/>
      <c r="N107" s="330"/>
      <c r="O107" s="330"/>
      <c r="P107" s="331"/>
    </row>
    <row r="108" spans="2:16" ht="21.6" customHeight="1" outlineLevel="1" x14ac:dyDescent="0.25">
      <c r="B108" s="330"/>
      <c r="C108" s="333" t="s">
        <v>305</v>
      </c>
      <c r="D108" s="334" t="s">
        <v>283</v>
      </c>
      <c r="E108" s="331"/>
      <c r="F108" s="331"/>
      <c r="G108" s="334">
        <v>312</v>
      </c>
      <c r="H108" s="334">
        <v>535</v>
      </c>
      <c r="I108" s="334">
        <v>561</v>
      </c>
      <c r="J108" s="334">
        <v>584</v>
      </c>
      <c r="K108" s="334">
        <v>607</v>
      </c>
      <c r="L108" s="334">
        <v>631</v>
      </c>
      <c r="M108" s="334">
        <v>657</v>
      </c>
      <c r="N108" s="334">
        <v>683</v>
      </c>
      <c r="O108" s="334">
        <v>710</v>
      </c>
      <c r="P108" s="331"/>
    </row>
    <row r="109" spans="2:16" ht="21.6" customHeight="1" outlineLevel="1" x14ac:dyDescent="0.25">
      <c r="B109" s="330"/>
      <c r="C109" s="331"/>
      <c r="D109" s="331"/>
      <c r="E109" s="331"/>
      <c r="F109" s="331"/>
      <c r="G109" s="330"/>
      <c r="H109" s="330"/>
      <c r="I109" s="330"/>
      <c r="J109" s="330"/>
      <c r="K109" s="330"/>
      <c r="L109" s="330"/>
      <c r="M109" s="330"/>
      <c r="N109" s="330"/>
      <c r="O109" s="330"/>
      <c r="P109" s="331"/>
    </row>
    <row r="110" spans="2:16" ht="21.6" customHeight="1" x14ac:dyDescent="0.25">
      <c r="B110" s="326" t="s">
        <v>329</v>
      </c>
      <c r="C110" s="327" t="s">
        <v>330</v>
      </c>
      <c r="D110" s="328"/>
      <c r="E110" s="328"/>
      <c r="F110" s="328"/>
      <c r="G110" s="329"/>
      <c r="H110" s="329"/>
      <c r="I110" s="329"/>
      <c r="J110" s="329"/>
      <c r="K110" s="329"/>
      <c r="L110" s="329"/>
      <c r="M110" s="329"/>
      <c r="N110" s="329"/>
      <c r="O110" s="329"/>
      <c r="P110" s="328"/>
    </row>
    <row r="111" spans="2:16" ht="21.6" customHeight="1" outlineLevel="1" x14ac:dyDescent="0.25">
      <c r="B111" s="330"/>
      <c r="C111" s="331"/>
      <c r="D111" s="331"/>
      <c r="E111" s="331"/>
      <c r="F111" s="331"/>
      <c r="G111" s="330"/>
      <c r="H111" s="330"/>
      <c r="I111" s="330"/>
      <c r="J111" s="330"/>
      <c r="K111" s="330"/>
      <c r="L111" s="330"/>
      <c r="M111" s="330"/>
      <c r="N111" s="330"/>
      <c r="O111" s="330"/>
      <c r="P111" s="331"/>
    </row>
    <row r="112" spans="2:16" ht="21.6" customHeight="1" outlineLevel="1" x14ac:dyDescent="0.25">
      <c r="B112" s="330"/>
      <c r="C112" s="333" t="s">
        <v>305</v>
      </c>
      <c r="D112" s="334" t="s">
        <v>283</v>
      </c>
      <c r="E112" s="331"/>
      <c r="F112" s="331"/>
      <c r="G112" s="340">
        <f>G104-G108-G100</f>
        <v>6562.5499999999993</v>
      </c>
      <c r="H112" s="340">
        <f t="shared" ref="H112:P112" si="2">H104-H108-H100</f>
        <v>6134</v>
      </c>
      <c r="I112" s="340">
        <f t="shared" si="2"/>
        <v>6393.6</v>
      </c>
      <c r="J112" s="340">
        <f t="shared" si="2"/>
        <v>6621.2000000000007</v>
      </c>
      <c r="K112" s="340">
        <f t="shared" si="2"/>
        <v>6863.6</v>
      </c>
      <c r="L112" s="340">
        <f t="shared" si="2"/>
        <v>7100.6</v>
      </c>
      <c r="M112" s="340">
        <f t="shared" si="2"/>
        <v>7346.6</v>
      </c>
      <c r="N112" s="340">
        <f t="shared" si="2"/>
        <v>7602.5999999999985</v>
      </c>
      <c r="O112" s="340">
        <f t="shared" si="2"/>
        <v>7868.5999999999985</v>
      </c>
      <c r="P112" s="333">
        <f t="shared" si="2"/>
        <v>0</v>
      </c>
    </row>
    <row r="113" spans="2:16" ht="21.6" customHeight="1" outlineLevel="1" x14ac:dyDescent="0.25">
      <c r="B113" s="330"/>
      <c r="C113" s="333"/>
      <c r="D113" s="334"/>
      <c r="E113" s="331"/>
      <c r="F113" s="331"/>
      <c r="G113" s="334"/>
      <c r="H113" s="334"/>
      <c r="I113" s="334"/>
      <c r="J113" s="334"/>
      <c r="K113" s="334"/>
      <c r="L113" s="334"/>
      <c r="M113" s="334"/>
      <c r="N113" s="334"/>
      <c r="O113" s="334"/>
      <c r="P113" s="331"/>
    </row>
    <row r="114" spans="2:16" ht="21.6" customHeight="1" x14ac:dyDescent="0.25">
      <c r="B114" s="322" t="s">
        <v>331</v>
      </c>
      <c r="C114" s="323" t="s">
        <v>332</v>
      </c>
      <c r="D114" s="324"/>
      <c r="E114" s="324"/>
      <c r="F114" s="324"/>
      <c r="G114" s="325"/>
      <c r="H114" s="325"/>
      <c r="I114" s="325"/>
      <c r="J114" s="325"/>
      <c r="K114" s="325"/>
      <c r="L114" s="325"/>
      <c r="M114" s="325"/>
      <c r="N114" s="325"/>
      <c r="O114" s="325"/>
      <c r="P114" s="324"/>
    </row>
    <row r="115" spans="2:16" ht="21.6" customHeight="1" x14ac:dyDescent="0.25">
      <c r="B115" s="330"/>
      <c r="C115" s="331"/>
      <c r="D115" s="331"/>
      <c r="E115" s="331"/>
      <c r="F115" s="331"/>
      <c r="G115" s="330"/>
      <c r="H115" s="330"/>
      <c r="I115" s="330"/>
      <c r="J115" s="330"/>
      <c r="K115" s="330"/>
      <c r="L115" s="330"/>
      <c r="M115" s="330"/>
      <c r="N115" s="330"/>
      <c r="O115" s="330"/>
      <c r="P115" s="331"/>
    </row>
    <row r="116" spans="2:16" ht="21.6" customHeight="1" outlineLevel="1" x14ac:dyDescent="0.25">
      <c r="B116" s="330"/>
      <c r="C116" s="331"/>
      <c r="D116" s="331"/>
      <c r="E116" s="331"/>
      <c r="F116" s="331"/>
      <c r="G116" s="330"/>
      <c r="H116" s="330"/>
      <c r="I116" s="330"/>
      <c r="J116" s="330"/>
      <c r="K116" s="330"/>
      <c r="L116" s="330"/>
      <c r="M116" s="330"/>
      <c r="N116" s="330"/>
      <c r="O116" s="330"/>
      <c r="P116" s="331"/>
    </row>
    <row r="117" spans="2:16" ht="21.6" customHeight="1" x14ac:dyDescent="0.25">
      <c r="B117" s="326" t="s">
        <v>333</v>
      </c>
      <c r="C117" s="327" t="s">
        <v>334</v>
      </c>
      <c r="D117" s="328"/>
      <c r="E117" s="328"/>
      <c r="F117" s="328"/>
      <c r="G117" s="329"/>
      <c r="H117" s="329"/>
      <c r="I117" s="329"/>
      <c r="J117" s="329"/>
      <c r="K117" s="329"/>
      <c r="L117" s="329"/>
      <c r="M117" s="329"/>
      <c r="N117" s="329"/>
      <c r="O117" s="329"/>
      <c r="P117" s="328"/>
    </row>
    <row r="118" spans="2:16" ht="21.6" customHeight="1" outlineLevel="1" x14ac:dyDescent="0.25">
      <c r="B118" s="330"/>
      <c r="C118" s="331"/>
      <c r="D118" s="331"/>
      <c r="E118" s="331"/>
      <c r="F118" s="331"/>
      <c r="G118" s="330"/>
      <c r="H118" s="330"/>
      <c r="I118" s="330"/>
      <c r="J118" s="330"/>
      <c r="K118" s="330"/>
      <c r="L118" s="330"/>
      <c r="M118" s="330"/>
      <c r="N118" s="330"/>
      <c r="O118" s="330"/>
      <c r="P118" s="331"/>
    </row>
    <row r="119" spans="2:16" ht="21.6" customHeight="1" outlineLevel="1" x14ac:dyDescent="0.25">
      <c r="B119" s="330"/>
      <c r="C119" s="333" t="s">
        <v>305</v>
      </c>
      <c r="D119" s="334" t="s">
        <v>283</v>
      </c>
      <c r="E119" s="331"/>
      <c r="F119" s="331"/>
      <c r="G119" s="340">
        <f>G108+SUM(G52+G112)*5.2</f>
        <v>35243.259999999995</v>
      </c>
      <c r="H119" s="340">
        <f t="shared" ref="H119:O119" si="3">H108+SUM(H52+H112)*5.2</f>
        <v>33549.800000000003</v>
      </c>
      <c r="I119" s="340">
        <f t="shared" si="3"/>
        <v>34982.920000000006</v>
      </c>
      <c r="J119" s="340">
        <f t="shared" si="3"/>
        <v>36236.240000000005</v>
      </c>
      <c r="K119" s="340">
        <f t="shared" si="3"/>
        <v>37566.520000000004</v>
      </c>
      <c r="L119" s="340">
        <f t="shared" si="3"/>
        <v>38874.920000000006</v>
      </c>
      <c r="M119" s="340">
        <f t="shared" si="3"/>
        <v>40232.120000000003</v>
      </c>
      <c r="N119" s="340">
        <f t="shared" si="3"/>
        <v>41641.319999999992</v>
      </c>
      <c r="O119" s="340">
        <f t="shared" si="3"/>
        <v>43108.719999999994</v>
      </c>
      <c r="P119" s="331"/>
    </row>
    <row r="120" spans="2:16" ht="21.6" customHeight="1" outlineLevel="1" x14ac:dyDescent="0.25">
      <c r="B120" s="330"/>
      <c r="C120" s="331"/>
      <c r="D120" s="331"/>
      <c r="E120" s="331"/>
      <c r="F120" s="331"/>
      <c r="G120" s="330"/>
      <c r="H120" s="330"/>
      <c r="I120" s="330"/>
      <c r="J120" s="330"/>
      <c r="K120" s="330"/>
      <c r="L120" s="330"/>
      <c r="M120" s="330"/>
      <c r="N120" s="330"/>
      <c r="O120" s="330"/>
      <c r="P120" s="331"/>
    </row>
    <row r="121" spans="2:16" ht="21.6" customHeight="1" outlineLevel="1" x14ac:dyDescent="0.25">
      <c r="B121" s="330"/>
      <c r="C121" s="331"/>
      <c r="D121" s="331"/>
      <c r="E121" s="331"/>
      <c r="F121" s="331"/>
      <c r="G121" s="330"/>
      <c r="H121" s="330"/>
      <c r="I121" s="330"/>
      <c r="J121" s="330"/>
      <c r="K121" s="330"/>
      <c r="L121" s="330"/>
      <c r="M121" s="330"/>
      <c r="N121" s="330"/>
      <c r="O121" s="330"/>
      <c r="P121" s="331"/>
    </row>
    <row r="122" spans="2:16" ht="21.6" customHeight="1" x14ac:dyDescent="0.25">
      <c r="B122" s="326" t="s">
        <v>335</v>
      </c>
      <c r="C122" s="327" t="s">
        <v>302</v>
      </c>
      <c r="D122" s="328"/>
      <c r="E122" s="328"/>
      <c r="F122" s="328"/>
      <c r="G122" s="329"/>
      <c r="H122" s="329"/>
      <c r="I122" s="329"/>
      <c r="J122" s="329"/>
      <c r="K122" s="329"/>
      <c r="L122" s="329"/>
      <c r="M122" s="329"/>
      <c r="N122" s="329"/>
      <c r="O122" s="329"/>
      <c r="P122" s="328"/>
    </row>
    <row r="123" spans="2:16" ht="21.6" customHeight="1" outlineLevel="1" x14ac:dyDescent="0.25">
      <c r="B123" s="330"/>
      <c r="C123" s="331"/>
      <c r="D123" s="331"/>
      <c r="E123" s="331"/>
      <c r="F123" s="331"/>
      <c r="G123" s="330"/>
      <c r="H123" s="330"/>
      <c r="I123" s="330"/>
      <c r="J123" s="330"/>
      <c r="K123" s="330"/>
      <c r="L123" s="330"/>
      <c r="M123" s="330"/>
      <c r="N123" s="330"/>
      <c r="O123" s="330"/>
      <c r="P123" s="331"/>
    </row>
    <row r="124" spans="2:16" ht="21.6" customHeight="1" outlineLevel="1" x14ac:dyDescent="0.2">
      <c r="B124" s="330"/>
      <c r="C124" s="350" t="s">
        <v>336</v>
      </c>
      <c r="D124" s="330" t="s">
        <v>283</v>
      </c>
      <c r="E124" s="331"/>
      <c r="F124" s="331"/>
      <c r="G124" s="351">
        <v>10.405798920000001</v>
      </c>
      <c r="H124" s="330"/>
      <c r="I124" s="330"/>
      <c r="J124" s="330"/>
      <c r="K124" s="330"/>
      <c r="L124" s="330"/>
      <c r="M124" s="330"/>
      <c r="N124" s="330"/>
      <c r="O124" s="330"/>
      <c r="P124" s="331"/>
    </row>
    <row r="125" spans="2:16" ht="21.6" customHeight="1" outlineLevel="1" x14ac:dyDescent="0.2">
      <c r="B125" s="330"/>
      <c r="C125" s="350" t="s">
        <v>370</v>
      </c>
      <c r="D125" s="330" t="s">
        <v>283</v>
      </c>
      <c r="E125" s="331"/>
      <c r="F125" s="331"/>
      <c r="G125" s="351">
        <v>3.0298834800000001</v>
      </c>
      <c r="H125" s="330"/>
      <c r="I125" s="330"/>
      <c r="J125" s="330"/>
      <c r="K125" s="330"/>
      <c r="L125" s="330"/>
      <c r="M125" s="330"/>
      <c r="N125" s="330"/>
      <c r="O125" s="330"/>
      <c r="P125" s="331"/>
    </row>
    <row r="126" spans="2:16" ht="21.6" customHeight="1" outlineLevel="1" x14ac:dyDescent="0.2">
      <c r="B126" s="330"/>
      <c r="C126" s="350" t="s">
        <v>371</v>
      </c>
      <c r="D126" s="330" t="s">
        <v>283</v>
      </c>
      <c r="E126" s="331"/>
      <c r="F126" s="331"/>
      <c r="G126" s="351">
        <v>2.7556858800000001</v>
      </c>
      <c r="H126" s="330"/>
      <c r="I126" s="330"/>
      <c r="J126" s="330"/>
      <c r="K126" s="330"/>
      <c r="L126" s="330"/>
      <c r="M126" s="330"/>
      <c r="N126" s="330"/>
      <c r="O126" s="330"/>
      <c r="P126" s="331"/>
    </row>
    <row r="127" spans="2:16" ht="21.6" customHeight="1" outlineLevel="1" x14ac:dyDescent="0.2">
      <c r="B127" s="330"/>
      <c r="C127" s="350" t="s">
        <v>372</v>
      </c>
      <c r="D127" s="330" t="s">
        <v>283</v>
      </c>
      <c r="E127" s="331"/>
      <c r="F127" s="331"/>
      <c r="G127" s="351">
        <v>1.9399480199999999</v>
      </c>
      <c r="H127" s="330"/>
      <c r="I127" s="330"/>
      <c r="J127" s="330"/>
      <c r="K127" s="330"/>
      <c r="L127" s="330"/>
      <c r="M127" s="330"/>
      <c r="N127" s="330"/>
      <c r="O127" s="330"/>
      <c r="P127" s="331"/>
    </row>
    <row r="128" spans="2:16" ht="21.6" customHeight="1" outlineLevel="1" x14ac:dyDescent="0.2">
      <c r="B128" s="330"/>
      <c r="C128" s="350" t="s">
        <v>373</v>
      </c>
      <c r="D128" s="330" t="s">
        <v>283</v>
      </c>
      <c r="E128" s="331"/>
      <c r="F128" s="331"/>
      <c r="G128" s="351">
        <v>1.4189725799999999</v>
      </c>
      <c r="H128" s="330"/>
      <c r="I128" s="330"/>
      <c r="J128" s="330"/>
      <c r="K128" s="330"/>
      <c r="L128" s="330"/>
      <c r="M128" s="330"/>
      <c r="N128" s="330"/>
      <c r="O128" s="330"/>
      <c r="P128" s="331"/>
    </row>
    <row r="129" spans="2:16" ht="21.6" customHeight="1" outlineLevel="1" x14ac:dyDescent="0.2">
      <c r="B129" s="330"/>
      <c r="C129" s="350" t="s">
        <v>300</v>
      </c>
      <c r="D129" s="330"/>
      <c r="E129" s="331"/>
      <c r="F129" s="331"/>
      <c r="G129" s="351">
        <v>15.2</v>
      </c>
      <c r="H129" s="330"/>
      <c r="I129" s="330"/>
      <c r="J129" s="330"/>
      <c r="K129" s="330"/>
      <c r="L129" s="330"/>
      <c r="M129" s="330"/>
      <c r="N129" s="330"/>
      <c r="O129" s="330"/>
      <c r="P129" s="331"/>
    </row>
    <row r="130" spans="2:16" ht="21.6" customHeight="1" outlineLevel="1" x14ac:dyDescent="0.25">
      <c r="B130" s="330"/>
      <c r="C130" s="333" t="s">
        <v>305</v>
      </c>
      <c r="D130" s="334" t="s">
        <v>283</v>
      </c>
      <c r="E130" s="331"/>
      <c r="F130" s="331"/>
      <c r="G130" s="340">
        <v>34.775796114000002</v>
      </c>
      <c r="H130" s="334">
        <v>38.299999999999997</v>
      </c>
      <c r="I130" s="334">
        <v>38.4</v>
      </c>
      <c r="J130" s="334">
        <v>38.799999999999997</v>
      </c>
      <c r="K130" s="334">
        <v>39.4</v>
      </c>
      <c r="L130" s="334">
        <v>39.4</v>
      </c>
      <c r="M130" s="334">
        <v>39.4</v>
      </c>
      <c r="N130" s="334">
        <v>39.4</v>
      </c>
      <c r="O130" s="334">
        <v>39.4</v>
      </c>
      <c r="P130" s="331"/>
    </row>
    <row r="131" spans="2:16" ht="21.6" customHeight="1" outlineLevel="1" x14ac:dyDescent="0.25">
      <c r="B131" s="330"/>
      <c r="C131" s="333"/>
      <c r="D131" s="334"/>
      <c r="E131" s="331"/>
      <c r="F131" s="331"/>
      <c r="G131" s="334"/>
      <c r="H131" s="334"/>
      <c r="I131" s="334"/>
      <c r="J131" s="334"/>
      <c r="K131" s="334"/>
      <c r="L131" s="334"/>
      <c r="M131" s="334"/>
      <c r="N131" s="334"/>
      <c r="O131" s="334"/>
      <c r="P131" s="331"/>
    </row>
    <row r="132" spans="2:16" ht="21.6" customHeight="1" x14ac:dyDescent="0.25">
      <c r="B132" s="326" t="s">
        <v>342</v>
      </c>
      <c r="C132" s="327" t="s">
        <v>232</v>
      </c>
      <c r="D132" s="328"/>
      <c r="E132" s="328"/>
      <c r="F132" s="328"/>
      <c r="G132" s="329"/>
      <c r="H132" s="329"/>
      <c r="I132" s="329"/>
      <c r="J132" s="329"/>
      <c r="K132" s="329"/>
      <c r="L132" s="329"/>
      <c r="M132" s="329"/>
      <c r="N132" s="329"/>
      <c r="O132" s="329"/>
      <c r="P132" s="328"/>
    </row>
    <row r="133" spans="2:16" ht="21.6" customHeight="1" outlineLevel="1" x14ac:dyDescent="0.25">
      <c r="B133" s="330"/>
      <c r="C133" s="333"/>
      <c r="D133" s="334"/>
      <c r="E133" s="331"/>
      <c r="F133" s="331"/>
      <c r="G133" s="334"/>
      <c r="H133" s="334"/>
      <c r="I133" s="334"/>
      <c r="J133" s="334"/>
      <c r="K133" s="334"/>
      <c r="L133" s="334"/>
      <c r="M133" s="334"/>
      <c r="N133" s="334"/>
      <c r="O133" s="334"/>
      <c r="P133" s="331"/>
    </row>
    <row r="134" spans="2:16" ht="21.6" customHeight="1" outlineLevel="1" x14ac:dyDescent="0.25">
      <c r="B134" s="330"/>
      <c r="C134" s="333" t="s">
        <v>286</v>
      </c>
      <c r="D134" s="334" t="s">
        <v>283</v>
      </c>
      <c r="E134" s="331"/>
      <c r="F134" s="331"/>
      <c r="G134" s="340">
        <f>G119-G130</f>
        <v>35208.484203885993</v>
      </c>
      <c r="H134" s="340">
        <f t="shared" ref="H134:O134" si="4">H119-H130</f>
        <v>33511.5</v>
      </c>
      <c r="I134" s="340">
        <f t="shared" si="4"/>
        <v>34944.520000000004</v>
      </c>
      <c r="J134" s="340">
        <f t="shared" si="4"/>
        <v>36197.440000000002</v>
      </c>
      <c r="K134" s="340">
        <f t="shared" si="4"/>
        <v>37527.120000000003</v>
      </c>
      <c r="L134" s="340">
        <f t="shared" si="4"/>
        <v>38835.520000000004</v>
      </c>
      <c r="M134" s="340">
        <f t="shared" si="4"/>
        <v>40192.720000000001</v>
      </c>
      <c r="N134" s="340">
        <f t="shared" si="4"/>
        <v>41601.919999999991</v>
      </c>
      <c r="O134" s="340">
        <f t="shared" si="4"/>
        <v>43069.319999999992</v>
      </c>
      <c r="P134" s="331"/>
    </row>
    <row r="135" spans="2:16" ht="21.6" customHeight="1" outlineLevel="1" x14ac:dyDescent="0.25">
      <c r="B135" s="330"/>
      <c r="C135" s="331"/>
      <c r="D135" s="331"/>
      <c r="E135" s="331"/>
      <c r="F135" s="331"/>
      <c r="G135" s="330"/>
      <c r="H135" s="330"/>
      <c r="I135" s="330"/>
      <c r="J135" s="330"/>
      <c r="K135" s="330"/>
      <c r="L135" s="330"/>
      <c r="M135" s="330"/>
      <c r="N135" s="330"/>
      <c r="O135" s="330"/>
      <c r="P135" s="331"/>
    </row>
    <row r="136" spans="2:16" ht="21.6" customHeight="1" outlineLevel="1" x14ac:dyDescent="0.25">
      <c r="B136" s="322" t="s">
        <v>343</v>
      </c>
      <c r="C136" s="323" t="s">
        <v>344</v>
      </c>
      <c r="D136" s="324"/>
      <c r="E136" s="324"/>
      <c r="F136" s="324"/>
      <c r="G136" s="325"/>
      <c r="H136" s="325"/>
      <c r="I136" s="325"/>
      <c r="J136" s="325"/>
      <c r="K136" s="325"/>
      <c r="L136" s="325"/>
      <c r="M136" s="325"/>
      <c r="N136" s="325"/>
      <c r="O136" s="325"/>
      <c r="P136" s="324"/>
    </row>
    <row r="137" spans="2:16" ht="21.6" customHeight="1" outlineLevel="1" x14ac:dyDescent="0.25">
      <c r="B137" s="346"/>
      <c r="C137" s="347"/>
    </row>
    <row r="138" spans="2:16" ht="21.6" customHeight="1" outlineLevel="1" x14ac:dyDescent="0.25">
      <c r="B138" s="330"/>
      <c r="C138" s="333" t="s">
        <v>345</v>
      </c>
      <c r="D138" s="334" t="s">
        <v>283</v>
      </c>
      <c r="E138" s="331"/>
      <c r="F138" s="331"/>
      <c r="G138" s="340">
        <f t="shared" ref="G138:O138" si="5">G134</f>
        <v>35208.484203885993</v>
      </c>
      <c r="H138" s="340">
        <f t="shared" si="5"/>
        <v>33511.5</v>
      </c>
      <c r="I138" s="340">
        <f t="shared" si="5"/>
        <v>34944.520000000004</v>
      </c>
      <c r="J138" s="340">
        <f t="shared" si="5"/>
        <v>36197.440000000002</v>
      </c>
      <c r="K138" s="340">
        <f t="shared" si="5"/>
        <v>37527.120000000003</v>
      </c>
      <c r="L138" s="340">
        <f t="shared" si="5"/>
        <v>38835.520000000004</v>
      </c>
      <c r="M138" s="340">
        <f t="shared" si="5"/>
        <v>40192.720000000001</v>
      </c>
      <c r="N138" s="340">
        <f t="shared" si="5"/>
        <v>41601.919999999991</v>
      </c>
      <c r="O138" s="340">
        <f t="shared" si="5"/>
        <v>43069.319999999992</v>
      </c>
      <c r="P138" s="331"/>
    </row>
    <row r="139" spans="2:16" ht="21.6" customHeight="1" outlineLevel="1" x14ac:dyDescent="0.25">
      <c r="B139" s="330"/>
      <c r="C139" s="333" t="s">
        <v>346</v>
      </c>
      <c r="D139" s="334" t="s">
        <v>283</v>
      </c>
      <c r="E139" s="331"/>
      <c r="F139" s="331"/>
      <c r="G139" s="340">
        <f>G44+G96+G130</f>
        <v>156.95579611400001</v>
      </c>
      <c r="H139" s="340">
        <f t="shared" ref="H139:O139" si="6">H44+H96+H130</f>
        <v>153.1</v>
      </c>
      <c r="I139" s="340">
        <f t="shared" si="6"/>
        <v>153.6</v>
      </c>
      <c r="J139" s="340">
        <f t="shared" si="6"/>
        <v>155.19999999999999</v>
      </c>
      <c r="K139" s="340">
        <f t="shared" si="6"/>
        <v>157.6</v>
      </c>
      <c r="L139" s="340">
        <f t="shared" si="6"/>
        <v>157.6</v>
      </c>
      <c r="M139" s="340">
        <f t="shared" si="6"/>
        <v>157.6</v>
      </c>
      <c r="N139" s="340">
        <f t="shared" si="6"/>
        <v>157.6</v>
      </c>
      <c r="O139" s="340">
        <f t="shared" si="6"/>
        <v>157.6</v>
      </c>
      <c r="P139" s="331"/>
    </row>
    <row r="140" spans="2:16" ht="21.6" customHeight="1" outlineLevel="1" x14ac:dyDescent="0.25">
      <c r="B140" s="330"/>
      <c r="C140" s="333"/>
      <c r="D140" s="334"/>
      <c r="E140" s="331"/>
      <c r="F140" s="331"/>
      <c r="G140" s="330"/>
      <c r="H140" s="330"/>
      <c r="I140" s="330"/>
      <c r="J140" s="330"/>
      <c r="K140" s="330"/>
      <c r="L140" s="330"/>
      <c r="M140" s="330"/>
      <c r="N140" s="330"/>
      <c r="O140" s="330"/>
      <c r="P140" s="331"/>
    </row>
    <row r="141" spans="2:16" ht="21.6" customHeight="1" outlineLevel="1" x14ac:dyDescent="0.25">
      <c r="B141" s="330"/>
      <c r="C141" s="331" t="s">
        <v>347</v>
      </c>
      <c r="D141" s="331"/>
      <c r="E141" s="331"/>
      <c r="F141" s="331"/>
      <c r="G141" s="330"/>
      <c r="H141" s="330"/>
      <c r="I141" s="330"/>
      <c r="J141" s="330"/>
      <c r="K141" s="330"/>
      <c r="L141" s="330"/>
      <c r="M141" s="330"/>
      <c r="N141" s="330"/>
      <c r="O141" s="330"/>
      <c r="P141" s="331"/>
    </row>
    <row r="142" spans="2:16" ht="21.6" customHeight="1" x14ac:dyDescent="0.25">
      <c r="B142" s="330"/>
      <c r="C142" s="331" t="s">
        <v>348</v>
      </c>
      <c r="D142" s="331"/>
      <c r="E142" s="331"/>
      <c r="F142" s="331"/>
      <c r="G142" s="330"/>
      <c r="H142" s="330"/>
      <c r="I142" s="330"/>
      <c r="J142" s="330"/>
      <c r="K142" s="330"/>
      <c r="L142" s="330"/>
      <c r="M142" s="330"/>
      <c r="N142" s="330"/>
      <c r="O142" s="330"/>
      <c r="P142" s="33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15E7-CBC8-4DEE-BF5C-9FFD42C4F95A}">
  <dimension ref="A4:R39"/>
  <sheetViews>
    <sheetView zoomScale="70" zoomScaleNormal="70" workbookViewId="0">
      <selection activeCell="H6" sqref="H6"/>
    </sheetView>
  </sheetViews>
  <sheetFormatPr defaultColWidth="8.85546875" defaultRowHeight="15" outlineLevelRow="1" x14ac:dyDescent="0.25"/>
  <cols>
    <col min="1" max="1" width="8.85546875" style="75"/>
    <col min="2" max="2" width="40" style="75" customWidth="1"/>
    <col min="3" max="3" width="17.28515625" style="75" customWidth="1"/>
    <col min="4" max="15" width="10.7109375" style="75" customWidth="1"/>
    <col min="16" max="16" width="8.85546875" style="75"/>
    <col min="17" max="17" width="21.85546875" style="75" customWidth="1"/>
    <col min="18" max="16384" width="8.85546875" style="75"/>
  </cols>
  <sheetData>
    <row r="4" spans="1:17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O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Q4" s="5" t="s">
        <v>8</v>
      </c>
    </row>
    <row r="5" spans="1:17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Q5" s="16"/>
    </row>
    <row r="6" spans="1:17" ht="25.15" customHeight="1" x14ac:dyDescent="0.25">
      <c r="A6" s="196" t="s">
        <v>23</v>
      </c>
      <c r="B6" s="196"/>
    </row>
    <row r="7" spans="1:17" ht="25.15" customHeight="1" outlineLevel="1" x14ac:dyDescent="0.25">
      <c r="A7" s="3" t="s">
        <v>6</v>
      </c>
      <c r="B7" s="2" t="s">
        <v>160</v>
      </c>
      <c r="C7" s="75" t="s">
        <v>5</v>
      </c>
      <c r="D7" s="7">
        <f>D14+D20+D26+D32</f>
        <v>1263.5</v>
      </c>
      <c r="E7" s="7">
        <f t="shared" ref="E7:O7" si="1">E14+E20+E26+E32</f>
        <v>1276.4000000000001</v>
      </c>
      <c r="F7" s="7">
        <f t="shared" si="1"/>
        <v>1319.4</v>
      </c>
      <c r="G7" s="7">
        <f t="shared" si="1"/>
        <v>1362.7000000000003</v>
      </c>
      <c r="H7" s="7">
        <f t="shared" si="1"/>
        <v>1400.8000000000002</v>
      </c>
      <c r="I7" s="7">
        <f t="shared" si="1"/>
        <v>1100.5</v>
      </c>
      <c r="J7" s="7">
        <f t="shared" si="1"/>
        <v>1184.7999999999997</v>
      </c>
      <c r="K7" s="7">
        <f t="shared" si="1"/>
        <v>1172.4000000000001</v>
      </c>
      <c r="L7" s="7">
        <f t="shared" si="1"/>
        <v>1234.3999999999999</v>
      </c>
      <c r="M7" s="7">
        <f t="shared" si="1"/>
        <v>1316</v>
      </c>
      <c r="N7" s="7">
        <f t="shared" si="1"/>
        <v>1403.9</v>
      </c>
      <c r="O7" s="7">
        <f t="shared" si="1"/>
        <v>1476</v>
      </c>
      <c r="Q7" s="193" t="s">
        <v>162</v>
      </c>
    </row>
    <row r="8" spans="1:17" ht="25.15" customHeight="1" outlineLevel="1" x14ac:dyDescent="0.25">
      <c r="A8" s="3" t="s">
        <v>24</v>
      </c>
      <c r="B8" s="2" t="s">
        <v>19</v>
      </c>
      <c r="C8" s="75" t="s">
        <v>7</v>
      </c>
      <c r="D8" s="191">
        <f>(I7/D7)^(1/5)-1</f>
        <v>-2.7246146010242445E-2</v>
      </c>
      <c r="E8" s="191"/>
      <c r="F8" s="191"/>
      <c r="G8" s="191"/>
      <c r="H8" s="191"/>
      <c r="I8" s="191"/>
      <c r="J8" s="194">
        <f>(O7/J7)^(1/5)-1</f>
        <v>4.493256103687493E-2</v>
      </c>
      <c r="K8" s="194"/>
      <c r="L8" s="194"/>
      <c r="M8" s="194"/>
      <c r="N8" s="194"/>
      <c r="O8" s="194"/>
      <c r="Q8" s="193"/>
    </row>
    <row r="9" spans="1:17" s="78" customFormat="1" ht="25.15" customHeight="1" outlineLevel="1" x14ac:dyDescent="0.25">
      <c r="A9" s="14" t="s">
        <v>25</v>
      </c>
      <c r="B9" s="10" t="s">
        <v>160</v>
      </c>
      <c r="C9" s="78" t="s">
        <v>10</v>
      </c>
      <c r="D9" s="12">
        <f>D16+D22+D28+D34</f>
        <v>26.399520000000003</v>
      </c>
      <c r="E9" s="12">
        <f t="shared" ref="E9:O9" si="2">E16+E22+E28+E34</f>
        <v>27.125279999999997</v>
      </c>
      <c r="F9" s="12">
        <f t="shared" si="2"/>
        <v>28.077839999999998</v>
      </c>
      <c r="G9" s="12">
        <f t="shared" si="2"/>
        <v>29.393280000000001</v>
      </c>
      <c r="H9" s="12">
        <f t="shared" si="2"/>
        <v>30.708720000000003</v>
      </c>
      <c r="I9" s="12">
        <f t="shared" si="2"/>
        <v>27.125280000000004</v>
      </c>
      <c r="J9" s="12">
        <f t="shared" si="2"/>
        <v>30.481919999999999</v>
      </c>
      <c r="K9" s="12">
        <f t="shared" si="2"/>
        <v>29.80152</v>
      </c>
      <c r="L9" s="12">
        <f t="shared" si="2"/>
        <v>31.661279999999998</v>
      </c>
      <c r="M9" s="12">
        <f t="shared" si="2"/>
        <v>33.793200000000006</v>
      </c>
      <c r="N9" s="12">
        <f t="shared" si="2"/>
        <v>36.242640000000002</v>
      </c>
      <c r="O9" s="12">
        <f t="shared" si="2"/>
        <v>38.102399999999996</v>
      </c>
      <c r="Q9" s="192" t="s">
        <v>163</v>
      </c>
    </row>
    <row r="10" spans="1:17" ht="25.15" customHeight="1" outlineLevel="1" x14ac:dyDescent="0.25">
      <c r="A10" s="3" t="s">
        <v>26</v>
      </c>
      <c r="B10" s="2" t="s">
        <v>16</v>
      </c>
      <c r="C10" s="75" t="s">
        <v>7</v>
      </c>
      <c r="D10" s="191">
        <f>(I9/D9)^(1/5)-1</f>
        <v>5.4387980965098226E-3</v>
      </c>
      <c r="E10" s="191"/>
      <c r="F10" s="191"/>
      <c r="G10" s="191"/>
      <c r="H10" s="191"/>
      <c r="I10" s="191"/>
      <c r="J10" s="194">
        <f>(O9/J9)^(1/5)-1</f>
        <v>4.5639552591273169E-2</v>
      </c>
      <c r="K10" s="194"/>
      <c r="L10" s="194"/>
      <c r="M10" s="194"/>
      <c r="N10" s="194"/>
      <c r="O10" s="194"/>
      <c r="Q10" s="192"/>
    </row>
    <row r="11" spans="1:17" s="78" customFormat="1" ht="25.15" customHeight="1" outlineLevel="1" x14ac:dyDescent="0.25">
      <c r="A11" s="14" t="s">
        <v>27</v>
      </c>
      <c r="B11" s="10" t="s">
        <v>161</v>
      </c>
      <c r="C11" s="78" t="s">
        <v>21</v>
      </c>
      <c r="D11" s="12">
        <f>D7/D9</f>
        <v>47.860718679733566</v>
      </c>
      <c r="E11" s="12">
        <f t="shared" ref="E11:O11" si="3">E7/E9</f>
        <v>47.055735461532571</v>
      </c>
      <c r="F11" s="12">
        <f t="shared" si="3"/>
        <v>46.990794163653618</v>
      </c>
      <c r="G11" s="12">
        <f t="shared" si="3"/>
        <v>46.360936921636515</v>
      </c>
      <c r="H11" s="12">
        <f t="shared" si="3"/>
        <v>45.615707851059895</v>
      </c>
      <c r="I11" s="12">
        <f t="shared" si="3"/>
        <v>40.571009773908322</v>
      </c>
      <c r="J11" s="12">
        <f t="shared" si="3"/>
        <v>38.868942638783899</v>
      </c>
      <c r="K11" s="12">
        <f t="shared" si="3"/>
        <v>39.340275261127623</v>
      </c>
      <c r="L11" s="12">
        <f t="shared" si="3"/>
        <v>38.987684641934877</v>
      </c>
      <c r="M11" s="12">
        <f t="shared" si="3"/>
        <v>38.942745877868916</v>
      </c>
      <c r="N11" s="12">
        <f t="shared" si="3"/>
        <v>38.736140634346725</v>
      </c>
      <c r="O11" s="12">
        <f t="shared" si="3"/>
        <v>38.737717309145886</v>
      </c>
      <c r="Q11" s="78" t="s">
        <v>22</v>
      </c>
    </row>
    <row r="12" spans="1:17" s="78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s="78" customFormat="1" ht="25.15" customHeight="1" x14ac:dyDescent="0.25">
      <c r="A13" s="197" t="s">
        <v>63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7" s="78" customFormat="1" ht="25.15" customHeight="1" outlineLevel="1" x14ac:dyDescent="0.25">
      <c r="A14" s="14" t="s">
        <v>9</v>
      </c>
      <c r="B14" s="10" t="s">
        <v>160</v>
      </c>
      <c r="C14" s="75" t="s">
        <v>5</v>
      </c>
      <c r="D14" s="78">
        <v>476.4</v>
      </c>
      <c r="E14" s="78">
        <v>481.5</v>
      </c>
      <c r="F14" s="78">
        <v>493.2</v>
      </c>
      <c r="G14" s="78">
        <v>516</v>
      </c>
      <c r="H14" s="78">
        <v>545.4</v>
      </c>
      <c r="I14" s="78">
        <v>409.1</v>
      </c>
      <c r="J14" s="78">
        <v>438.7</v>
      </c>
      <c r="K14" s="78">
        <v>370.8</v>
      </c>
      <c r="L14" s="78">
        <v>394.7</v>
      </c>
      <c r="M14" s="78">
        <v>427.3</v>
      </c>
      <c r="N14" s="78">
        <v>458.5</v>
      </c>
      <c r="O14" s="78">
        <v>487.8</v>
      </c>
      <c r="Q14" s="192" t="s">
        <v>162</v>
      </c>
    </row>
    <row r="15" spans="1:17" ht="25.15" customHeight="1" outlineLevel="1" x14ac:dyDescent="0.25">
      <c r="A15" s="3" t="s">
        <v>29</v>
      </c>
      <c r="B15" s="2" t="s">
        <v>19</v>
      </c>
      <c r="C15" s="75" t="s">
        <v>7</v>
      </c>
      <c r="D15" s="191">
        <f>(I14/D14)^(1/5)-1</f>
        <v>-3.0000421973624625E-2</v>
      </c>
      <c r="E15" s="191"/>
      <c r="F15" s="191"/>
      <c r="G15" s="191"/>
      <c r="H15" s="191"/>
      <c r="I15" s="191"/>
      <c r="J15" s="191">
        <f>(O14/J14)^(1/5)-1</f>
        <v>2.1444636452046861E-2</v>
      </c>
      <c r="K15" s="191"/>
      <c r="L15" s="191"/>
      <c r="M15" s="191"/>
      <c r="N15" s="191"/>
      <c r="O15" s="191"/>
      <c r="Q15" s="192"/>
    </row>
    <row r="16" spans="1:17" s="78" customFormat="1" ht="25.15" customHeight="1" outlineLevel="1" x14ac:dyDescent="0.25">
      <c r="A16" s="14" t="s">
        <v>30</v>
      </c>
      <c r="B16" s="10" t="s">
        <v>160</v>
      </c>
      <c r="C16" s="75" t="s">
        <v>10</v>
      </c>
      <c r="D16" s="12">
        <f>18.5*B39</f>
        <v>8.3916000000000004</v>
      </c>
      <c r="E16" s="12">
        <f>18.8*B39</f>
        <v>8.5276800000000001</v>
      </c>
      <c r="F16" s="12">
        <f>19.2*B39</f>
        <v>8.7091200000000004</v>
      </c>
      <c r="G16" s="12">
        <f>20.6*B39</f>
        <v>9.3441600000000005</v>
      </c>
      <c r="H16" s="12">
        <f>22.6*B39</f>
        <v>10.25136</v>
      </c>
      <c r="I16" s="12">
        <f>20.3*B39</f>
        <v>9.2080800000000007</v>
      </c>
      <c r="J16" s="12">
        <f>23*B39</f>
        <v>10.4328</v>
      </c>
      <c r="K16" s="12">
        <f>17.4*B39</f>
        <v>7.8926399999999992</v>
      </c>
      <c r="L16" s="12">
        <f>18.6*B39</f>
        <v>8.4369600000000009</v>
      </c>
      <c r="M16" s="12">
        <f>20.1*B39</f>
        <v>9.1173600000000015</v>
      </c>
      <c r="N16" s="12">
        <f>21.6*B39</f>
        <v>9.7977600000000002</v>
      </c>
      <c r="O16" s="12">
        <f>22.9*B39</f>
        <v>10.38744</v>
      </c>
      <c r="Q16" s="192" t="s">
        <v>163</v>
      </c>
    </row>
    <row r="17" spans="1:18" s="78" customFormat="1" ht="25.15" customHeight="1" outlineLevel="1" x14ac:dyDescent="0.25">
      <c r="A17" s="14" t="s">
        <v>31</v>
      </c>
      <c r="B17" s="2" t="s">
        <v>17</v>
      </c>
      <c r="C17" s="75" t="s">
        <v>7</v>
      </c>
      <c r="D17" s="191">
        <f>(I16/D16)^(1/5)-1</f>
        <v>1.8743526088197626E-2</v>
      </c>
      <c r="E17" s="191"/>
      <c r="F17" s="191"/>
      <c r="G17" s="191"/>
      <c r="H17" s="191"/>
      <c r="I17" s="191"/>
      <c r="J17" s="194">
        <f>(O16/J16)^(1/5)-1</f>
        <v>-8.7108146186998248E-4</v>
      </c>
      <c r="K17" s="194"/>
      <c r="L17" s="194"/>
      <c r="M17" s="194"/>
      <c r="N17" s="194"/>
      <c r="O17" s="194"/>
      <c r="Q17" s="192"/>
    </row>
    <row r="18" spans="1:18" s="78" customFormat="1" ht="25.15" customHeight="1" x14ac:dyDescent="0.25">
      <c r="A18" s="14"/>
      <c r="B18" s="2"/>
      <c r="C18" s="7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8" s="78" customFormat="1" ht="25.15" customHeight="1" x14ac:dyDescent="0.25">
      <c r="A19" s="197" t="s">
        <v>64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8" s="78" customFormat="1" ht="25.15" customHeight="1" outlineLevel="1" x14ac:dyDescent="0.25">
      <c r="A20" s="14" t="s">
        <v>12</v>
      </c>
      <c r="B20" s="10" t="s">
        <v>160</v>
      </c>
      <c r="C20" s="75" t="s">
        <v>5</v>
      </c>
      <c r="D20" s="46">
        <v>499.1</v>
      </c>
      <c r="E20" s="46">
        <v>504.5</v>
      </c>
      <c r="F20" s="46">
        <v>522.20000000000005</v>
      </c>
      <c r="G20" s="46">
        <v>531.20000000000005</v>
      </c>
      <c r="H20" s="46">
        <v>533</v>
      </c>
      <c r="I20" s="46">
        <v>431.9</v>
      </c>
      <c r="J20" s="46">
        <v>473.9</v>
      </c>
      <c r="K20" s="46">
        <v>519.70000000000005</v>
      </c>
      <c r="L20" s="46">
        <v>544.1</v>
      </c>
      <c r="M20" s="46">
        <v>571.4</v>
      </c>
      <c r="N20" s="46">
        <v>605.4</v>
      </c>
      <c r="O20" s="46">
        <v>627.5</v>
      </c>
      <c r="Q20" s="193" t="s">
        <v>162</v>
      </c>
    </row>
    <row r="21" spans="1:18" ht="25.15" customHeight="1" outlineLevel="1" x14ac:dyDescent="0.25">
      <c r="A21" s="3" t="s">
        <v>33</v>
      </c>
      <c r="B21" s="2" t="s">
        <v>19</v>
      </c>
      <c r="C21" s="75" t="s">
        <v>7</v>
      </c>
      <c r="D21" s="191">
        <f>(I20/D20)^(1/5)-1</f>
        <v>-2.850822773188999E-2</v>
      </c>
      <c r="E21" s="191"/>
      <c r="F21" s="191"/>
      <c r="G21" s="191"/>
      <c r="H21" s="191"/>
      <c r="I21" s="191"/>
      <c r="J21" s="194">
        <f>(O20/J20)^(1/5)-1</f>
        <v>5.7755772991475718E-2</v>
      </c>
      <c r="K21" s="194"/>
      <c r="L21" s="194"/>
      <c r="M21" s="194"/>
      <c r="N21" s="194"/>
      <c r="O21" s="194"/>
      <c r="Q21" s="193"/>
    </row>
    <row r="22" spans="1:18" ht="25.15" customHeight="1" outlineLevel="1" x14ac:dyDescent="0.25">
      <c r="A22" s="3" t="s">
        <v>34</v>
      </c>
      <c r="B22" s="10" t="s">
        <v>160</v>
      </c>
      <c r="C22" s="75" t="s">
        <v>10</v>
      </c>
      <c r="D22" s="12">
        <f>26.7*B39</f>
        <v>12.11112</v>
      </c>
      <c r="E22" s="12">
        <f>27.7*B39</f>
        <v>12.564719999999999</v>
      </c>
      <c r="F22" s="12">
        <f>28.8*B39</f>
        <v>13.06368</v>
      </c>
      <c r="G22" s="12">
        <f>29.7*B39</f>
        <v>13.471919999999999</v>
      </c>
      <c r="H22" s="12">
        <f>30.1*B39</f>
        <v>13.653360000000001</v>
      </c>
      <c r="I22" s="12">
        <f>26.5*B39</f>
        <v>12.0204</v>
      </c>
      <c r="J22" s="12">
        <f>29.8*B39</f>
        <v>13.517280000000001</v>
      </c>
      <c r="K22" s="12">
        <f>33.4*B39</f>
        <v>15.15024</v>
      </c>
      <c r="L22" s="12">
        <f>35.4*B39</f>
        <v>16.05744</v>
      </c>
      <c r="M22" s="12">
        <f>37.3*B39</f>
        <v>16.919280000000001</v>
      </c>
      <c r="N22" s="12">
        <f>39.9*B39</f>
        <v>18.09864</v>
      </c>
      <c r="O22" s="12">
        <f>41.6*B39</f>
        <v>18.869759999999999</v>
      </c>
      <c r="Q22" s="192" t="s">
        <v>163</v>
      </c>
    </row>
    <row r="23" spans="1:18" s="78" customFormat="1" ht="25.15" customHeight="1" outlineLevel="1" x14ac:dyDescent="0.25">
      <c r="A23" s="14" t="s">
        <v>35</v>
      </c>
      <c r="B23" s="2" t="s">
        <v>17</v>
      </c>
      <c r="C23" s="75" t="s">
        <v>7</v>
      </c>
      <c r="D23" s="191">
        <f>(I22/D22)^(1/5)-1</f>
        <v>-1.5026363925230157E-3</v>
      </c>
      <c r="E23" s="191"/>
      <c r="F23" s="191"/>
      <c r="G23" s="191"/>
      <c r="H23" s="191"/>
      <c r="I23" s="191"/>
      <c r="J23" s="194">
        <f>(O22/J22)^(1/5)-1</f>
        <v>6.8994358590019456E-2</v>
      </c>
      <c r="K23" s="194"/>
      <c r="L23" s="194"/>
      <c r="M23" s="194"/>
      <c r="N23" s="194"/>
      <c r="O23" s="194"/>
      <c r="Q23" s="192"/>
    </row>
    <row r="24" spans="1:18" s="78" customFormat="1" ht="25.15" customHeight="1" x14ac:dyDescent="0.25">
      <c r="A24" s="14"/>
      <c r="B24" s="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8" s="78" customFormat="1" ht="25.15" customHeight="1" x14ac:dyDescent="0.25">
      <c r="A25" s="213" t="s">
        <v>156</v>
      </c>
      <c r="B25" s="2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8" s="78" customFormat="1" ht="25.15" customHeight="1" outlineLevel="1" x14ac:dyDescent="0.25">
      <c r="A26" s="14" t="s">
        <v>14</v>
      </c>
      <c r="B26" s="10" t="s">
        <v>160</v>
      </c>
      <c r="C26" s="78" t="s">
        <v>5</v>
      </c>
      <c r="D26" s="46">
        <v>237</v>
      </c>
      <c r="E26" s="46">
        <v>239.2</v>
      </c>
      <c r="F26" s="46">
        <v>251.1</v>
      </c>
      <c r="G26" s="46">
        <v>261.10000000000002</v>
      </c>
      <c r="H26" s="46">
        <v>268</v>
      </c>
      <c r="I26" s="46">
        <v>215.6</v>
      </c>
      <c r="J26" s="46">
        <v>223.1</v>
      </c>
      <c r="K26" s="46">
        <v>234.4</v>
      </c>
      <c r="L26" s="46">
        <v>244.8</v>
      </c>
      <c r="M26" s="46">
        <v>262.7</v>
      </c>
      <c r="N26" s="46">
        <v>281.60000000000002</v>
      </c>
      <c r="O26" s="46">
        <v>299</v>
      </c>
      <c r="Q26" s="193" t="s">
        <v>162</v>
      </c>
    </row>
    <row r="27" spans="1:18" s="78" customFormat="1" ht="25.15" customHeight="1" outlineLevel="1" x14ac:dyDescent="0.25">
      <c r="A27" s="3" t="s">
        <v>37</v>
      </c>
      <c r="B27" s="2" t="s">
        <v>19</v>
      </c>
      <c r="C27" s="75" t="s">
        <v>7</v>
      </c>
      <c r="D27" s="191">
        <f>(I26/D26)^(1/5)-1</f>
        <v>-1.8749068336574082E-2</v>
      </c>
      <c r="E27" s="191"/>
      <c r="F27" s="191"/>
      <c r="G27" s="191"/>
      <c r="H27" s="191"/>
      <c r="I27" s="191"/>
      <c r="J27" s="194">
        <f>(O26/J26)^(1/5)-1</f>
        <v>6.0313579816467344E-2</v>
      </c>
      <c r="K27" s="194"/>
      <c r="L27" s="194"/>
      <c r="M27" s="194"/>
      <c r="N27" s="194"/>
      <c r="O27" s="194"/>
      <c r="P27" s="79"/>
      <c r="Q27" s="193"/>
      <c r="R27" s="79"/>
    </row>
    <row r="28" spans="1:18" s="78" customFormat="1" ht="25.15" customHeight="1" outlineLevel="1" x14ac:dyDescent="0.25">
      <c r="A28" s="3" t="s">
        <v>38</v>
      </c>
      <c r="B28" s="10" t="s">
        <v>160</v>
      </c>
      <c r="C28" s="75" t="s">
        <v>10</v>
      </c>
      <c r="D28" s="12">
        <f>10.5*B39</f>
        <v>4.7628000000000004</v>
      </c>
      <c r="E28" s="12">
        <f>10.8*B39</f>
        <v>4.8988800000000001</v>
      </c>
      <c r="F28" s="12">
        <f>11.3*B39</f>
        <v>5.12568</v>
      </c>
      <c r="G28" s="12">
        <f>11.8*B39</f>
        <v>5.3524800000000008</v>
      </c>
      <c r="H28" s="12">
        <f>12.3*B39</f>
        <v>5.5792800000000007</v>
      </c>
      <c r="I28" s="12">
        <f>10.6*B39</f>
        <v>4.80816</v>
      </c>
      <c r="J28" s="12">
        <f>11.5*B39</f>
        <v>5.2164000000000001</v>
      </c>
      <c r="K28" s="12">
        <f>12.2*B39</f>
        <v>5.5339199999999993</v>
      </c>
      <c r="L28" s="12">
        <f>12.9*B39</f>
        <v>5.8514400000000002</v>
      </c>
      <c r="M28" s="12">
        <f>13.9*B39</f>
        <v>6.30504</v>
      </c>
      <c r="N28" s="12">
        <f>15*B39</f>
        <v>6.8040000000000003</v>
      </c>
      <c r="O28" s="12">
        <f>15.9*B39</f>
        <v>7.2122400000000004</v>
      </c>
      <c r="Q28" s="192" t="s">
        <v>163</v>
      </c>
    </row>
    <row r="29" spans="1:18" s="78" customFormat="1" ht="25.15" customHeight="1" outlineLevel="1" x14ac:dyDescent="0.25">
      <c r="A29" s="14" t="s">
        <v>39</v>
      </c>
      <c r="B29" s="2" t="s">
        <v>17</v>
      </c>
      <c r="C29" s="78" t="s">
        <v>7</v>
      </c>
      <c r="D29" s="191">
        <f>(I28/D28)^(1/5)-1</f>
        <v>1.897546858696586E-3</v>
      </c>
      <c r="E29" s="191"/>
      <c r="F29" s="191"/>
      <c r="G29" s="191"/>
      <c r="H29" s="191"/>
      <c r="I29" s="191"/>
      <c r="J29" s="194">
        <f>(O28/J28)^(1/5)-1</f>
        <v>6.6939654802553594E-2</v>
      </c>
      <c r="K29" s="194"/>
      <c r="L29" s="194"/>
      <c r="M29" s="194"/>
      <c r="N29" s="194"/>
      <c r="O29" s="194"/>
      <c r="Q29" s="192"/>
    </row>
    <row r="30" spans="1:18" s="78" customFormat="1" ht="25.15" customHeight="1" x14ac:dyDescent="0.25">
      <c r="A30" s="14"/>
      <c r="B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s="78" customFormat="1" ht="25.15" customHeight="1" x14ac:dyDescent="0.25">
      <c r="A31" s="198" t="s">
        <v>155</v>
      </c>
      <c r="B31" s="19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8" s="78" customFormat="1" ht="25.15" customHeight="1" outlineLevel="1" x14ac:dyDescent="0.25">
      <c r="A32" s="14" t="s">
        <v>41</v>
      </c>
      <c r="B32" s="10" t="s">
        <v>160</v>
      </c>
      <c r="C32" s="75" t="s">
        <v>5</v>
      </c>
      <c r="D32" s="12">
        <v>51</v>
      </c>
      <c r="E32" s="12">
        <v>51.2</v>
      </c>
      <c r="F32" s="12">
        <v>52.9</v>
      </c>
      <c r="G32" s="12">
        <v>54.4</v>
      </c>
      <c r="H32" s="12">
        <v>54.4</v>
      </c>
      <c r="I32" s="12">
        <v>43.9</v>
      </c>
      <c r="J32" s="12">
        <v>49.1</v>
      </c>
      <c r="K32" s="12">
        <v>47.5</v>
      </c>
      <c r="L32" s="12">
        <v>50.8</v>
      </c>
      <c r="M32" s="12">
        <v>54.6</v>
      </c>
      <c r="N32" s="12">
        <v>58.4</v>
      </c>
      <c r="O32" s="12">
        <v>61.7</v>
      </c>
      <c r="Q32" s="193" t="s">
        <v>162</v>
      </c>
    </row>
    <row r="33" spans="1:17" ht="25.15" customHeight="1" outlineLevel="1" x14ac:dyDescent="0.25">
      <c r="A33" s="3" t="s">
        <v>42</v>
      </c>
      <c r="B33" s="2" t="s">
        <v>19</v>
      </c>
      <c r="C33" s="75" t="s">
        <v>7</v>
      </c>
      <c r="D33" s="191">
        <f>(I32/D32)^(1/5)-1</f>
        <v>-2.9537253048973477E-2</v>
      </c>
      <c r="E33" s="191"/>
      <c r="F33" s="191"/>
      <c r="G33" s="191"/>
      <c r="H33" s="191"/>
      <c r="I33" s="191"/>
      <c r="J33" s="194">
        <f>(O32/J32)^(1/5)-1</f>
        <v>4.6744612710932554E-2</v>
      </c>
      <c r="K33" s="194"/>
      <c r="L33" s="194"/>
      <c r="M33" s="194"/>
      <c r="N33" s="194"/>
      <c r="O33" s="194"/>
      <c r="Q33" s="193"/>
    </row>
    <row r="34" spans="1:17" ht="25.15" customHeight="1" outlineLevel="1" x14ac:dyDescent="0.25">
      <c r="A34" s="3" t="s">
        <v>43</v>
      </c>
      <c r="B34" s="10" t="s">
        <v>160</v>
      </c>
      <c r="C34" s="75" t="s">
        <v>10</v>
      </c>
      <c r="D34" s="12">
        <f>2.5*B39</f>
        <v>1.1339999999999999</v>
      </c>
      <c r="E34" s="12">
        <f>2.5*B39</f>
        <v>1.1339999999999999</v>
      </c>
      <c r="F34" s="12">
        <f>2.6*B39</f>
        <v>1.17936</v>
      </c>
      <c r="G34" s="12">
        <f>2.7*B39</f>
        <v>1.22472</v>
      </c>
      <c r="H34" s="12">
        <f>2.7*B39</f>
        <v>1.22472</v>
      </c>
      <c r="I34" s="12">
        <f>2.4*B39</f>
        <v>1.0886400000000001</v>
      </c>
      <c r="J34" s="12">
        <f>2.9*B39</f>
        <v>1.3154399999999999</v>
      </c>
      <c r="K34" s="12">
        <f>2.7*B39</f>
        <v>1.22472</v>
      </c>
      <c r="L34" s="12">
        <f>2.9*B39</f>
        <v>1.3154399999999999</v>
      </c>
      <c r="M34" s="12">
        <f>3.2*B39</f>
        <v>1.4515200000000001</v>
      </c>
      <c r="N34" s="12">
        <f>3.4*B39</f>
        <v>1.5422400000000001</v>
      </c>
      <c r="O34" s="12">
        <f>3.6*B39</f>
        <v>1.63296</v>
      </c>
      <c r="Q34" s="192" t="s">
        <v>163</v>
      </c>
    </row>
    <row r="35" spans="1:17" ht="25.15" customHeight="1" outlineLevel="1" x14ac:dyDescent="0.25">
      <c r="A35" s="14" t="s">
        <v>44</v>
      </c>
      <c r="B35" s="2" t="s">
        <v>17</v>
      </c>
      <c r="C35" s="75" t="s">
        <v>7</v>
      </c>
      <c r="D35" s="191">
        <f>(I34/D34)^(1/5)-1</f>
        <v>-8.1311607174336942E-3</v>
      </c>
      <c r="E35" s="191"/>
      <c r="F35" s="191"/>
      <c r="G35" s="191"/>
      <c r="H35" s="191"/>
      <c r="I35" s="191"/>
      <c r="J35" s="194">
        <f>(O34/J34)^(1/5)-1</f>
        <v>4.4193295943856237E-2</v>
      </c>
      <c r="K35" s="194"/>
      <c r="L35" s="194"/>
      <c r="M35" s="194"/>
      <c r="N35" s="194"/>
      <c r="O35" s="194"/>
      <c r="Q35" s="192"/>
    </row>
    <row r="36" spans="1:17" ht="25.15" customHeight="1" x14ac:dyDescent="0.25">
      <c r="A36" s="14"/>
      <c r="B36" s="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Q36" s="78"/>
    </row>
    <row r="37" spans="1:17" s="78" customFormat="1" x14ac:dyDescent="0.2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9" spans="1:17" ht="30" x14ac:dyDescent="0.25">
      <c r="A39" s="75" t="s">
        <v>3</v>
      </c>
      <c r="B39" s="2">
        <v>0.4536</v>
      </c>
    </row>
  </sheetData>
  <mergeCells count="35">
    <mergeCell ref="A31:B31"/>
    <mergeCell ref="Q32:Q33"/>
    <mergeCell ref="D33:I33"/>
    <mergeCell ref="J33:O33"/>
    <mergeCell ref="Q34:Q35"/>
    <mergeCell ref="D35:I35"/>
    <mergeCell ref="J35:O35"/>
    <mergeCell ref="A25:B25"/>
    <mergeCell ref="Q26:Q27"/>
    <mergeCell ref="D27:I27"/>
    <mergeCell ref="J27:O27"/>
    <mergeCell ref="Q28:Q29"/>
    <mergeCell ref="D29:I29"/>
    <mergeCell ref="J29:O29"/>
    <mergeCell ref="A19:B19"/>
    <mergeCell ref="Q20:Q21"/>
    <mergeCell ref="D21:I21"/>
    <mergeCell ref="J21:O21"/>
    <mergeCell ref="Q22:Q23"/>
    <mergeCell ref="D23:I23"/>
    <mergeCell ref="J23:O23"/>
    <mergeCell ref="A13:B13"/>
    <mergeCell ref="Q14:Q15"/>
    <mergeCell ref="D15:I15"/>
    <mergeCell ref="J15:O15"/>
    <mergeCell ref="Q16:Q17"/>
    <mergeCell ref="D17:I17"/>
    <mergeCell ref="J17:O17"/>
    <mergeCell ref="A6:B6"/>
    <mergeCell ref="Q7:Q8"/>
    <mergeCell ref="D8:I8"/>
    <mergeCell ref="J8:O8"/>
    <mergeCell ref="Q9:Q10"/>
    <mergeCell ref="D10:I10"/>
    <mergeCell ref="J10:O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E0AD-6F97-4A62-96DB-9F2FA7EA7219}">
  <dimension ref="A4:N15"/>
  <sheetViews>
    <sheetView topLeftCell="A7" workbookViewId="0">
      <selection activeCell="E16" sqref="E16"/>
    </sheetView>
  </sheetViews>
  <sheetFormatPr defaultColWidth="8.85546875" defaultRowHeight="15" x14ac:dyDescent="0.25"/>
  <cols>
    <col min="1" max="1" width="8.85546875" style="75"/>
    <col min="2" max="2" width="40" style="75" customWidth="1"/>
    <col min="3" max="3" width="17.28515625" style="75" customWidth="1"/>
    <col min="4" max="12" width="10.7109375" style="75" customWidth="1"/>
    <col min="13" max="13" width="8.85546875" style="75"/>
    <col min="14" max="14" width="65.28515625" style="75" customWidth="1"/>
    <col min="15" max="16384" width="8.85546875" style="75"/>
  </cols>
  <sheetData>
    <row r="4" spans="1:14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2019</v>
      </c>
      <c r="E4" s="5">
        <f t="shared" ref="E4:L4" si="0">D4+1</f>
        <v>2020</v>
      </c>
      <c r="F4" s="5">
        <f t="shared" si="0"/>
        <v>2021</v>
      </c>
      <c r="G4" s="5">
        <f t="shared" si="0"/>
        <v>2022</v>
      </c>
      <c r="H4" s="5">
        <f t="shared" si="0"/>
        <v>2023</v>
      </c>
      <c r="I4" s="5">
        <f t="shared" si="0"/>
        <v>2024</v>
      </c>
      <c r="J4" s="5">
        <f t="shared" si="0"/>
        <v>2025</v>
      </c>
      <c r="K4" s="5">
        <f t="shared" si="0"/>
        <v>2026</v>
      </c>
      <c r="L4" s="5">
        <f t="shared" si="0"/>
        <v>2027</v>
      </c>
      <c r="N4" s="5" t="s">
        <v>8</v>
      </c>
    </row>
    <row r="5" spans="1:14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N5" s="16"/>
    </row>
    <row r="6" spans="1:14" ht="25.15" customHeight="1" x14ac:dyDescent="0.25">
      <c r="A6" s="196" t="s">
        <v>23</v>
      </c>
      <c r="B6" s="196"/>
    </row>
    <row r="7" spans="1:14" ht="30.6" customHeight="1" x14ac:dyDescent="0.25">
      <c r="A7" s="3" t="s">
        <v>6</v>
      </c>
      <c r="B7" s="2" t="s">
        <v>171</v>
      </c>
      <c r="C7" s="75" t="s">
        <v>5</v>
      </c>
      <c r="D7" s="7">
        <v>7.28653</v>
      </c>
      <c r="E7" s="7">
        <v>7.8780000000000001</v>
      </c>
      <c r="F7" s="7">
        <v>8.9</v>
      </c>
      <c r="G7" s="7">
        <f t="shared" ref="G7:L7" si="1">F7*(1+$F$8)</f>
        <v>9.6564999999999994</v>
      </c>
      <c r="H7" s="7">
        <f t="shared" si="1"/>
        <v>10.477302499999999</v>
      </c>
      <c r="I7" s="7">
        <f t="shared" si="1"/>
        <v>11.367873212499997</v>
      </c>
      <c r="J7" s="7">
        <f t="shared" si="1"/>
        <v>12.334142435562496</v>
      </c>
      <c r="K7" s="7">
        <f t="shared" si="1"/>
        <v>13.382544542585308</v>
      </c>
      <c r="L7" s="7">
        <f t="shared" si="1"/>
        <v>14.520060828705057</v>
      </c>
      <c r="N7" s="216" t="s">
        <v>172</v>
      </c>
    </row>
    <row r="8" spans="1:14" ht="48.6" customHeight="1" x14ac:dyDescent="0.25">
      <c r="A8" s="3" t="s">
        <v>26</v>
      </c>
      <c r="B8" s="2" t="s">
        <v>19</v>
      </c>
      <c r="C8" s="75" t="s">
        <v>7</v>
      </c>
      <c r="D8" s="191">
        <v>9.5000000000000001E-2</v>
      </c>
      <c r="E8" s="191"/>
      <c r="F8" s="194">
        <v>8.5000000000000006E-2</v>
      </c>
      <c r="G8" s="194"/>
      <c r="H8" s="194"/>
      <c r="I8" s="194"/>
      <c r="J8" s="194"/>
      <c r="K8" s="194"/>
      <c r="L8" s="194"/>
      <c r="N8" s="216"/>
    </row>
    <row r="9" spans="1:14" ht="48.6" customHeight="1" x14ac:dyDescent="0.25">
      <c r="A9" s="3" t="s">
        <v>25</v>
      </c>
      <c r="B9" s="2" t="s">
        <v>171</v>
      </c>
      <c r="C9" s="75" t="s">
        <v>5</v>
      </c>
      <c r="D9" s="11"/>
      <c r="E9" s="12"/>
      <c r="F9" s="12">
        <v>7.9</v>
      </c>
      <c r="G9" s="12">
        <f>F9*(1+$F$10)</f>
        <v>8.6268000000000011</v>
      </c>
      <c r="H9" s="12">
        <f>G9*(1+$F$10)</f>
        <v>9.4204656000000018</v>
      </c>
      <c r="I9" s="12">
        <f>H9*(1+$F$10)</f>
        <v>10.287148435200002</v>
      </c>
      <c r="J9" s="12">
        <f>I9*(1+$F$10)</f>
        <v>11.233566091238403</v>
      </c>
      <c r="K9" s="12">
        <v>12.3</v>
      </c>
      <c r="L9" s="11"/>
      <c r="M9" s="78"/>
      <c r="N9" s="216" t="s">
        <v>177</v>
      </c>
    </row>
    <row r="10" spans="1:14" ht="48.6" customHeight="1" x14ac:dyDescent="0.25">
      <c r="A10" s="3" t="s">
        <v>26</v>
      </c>
      <c r="B10" s="2" t="s">
        <v>19</v>
      </c>
      <c r="C10" s="75" t="s">
        <v>7</v>
      </c>
      <c r="D10" s="76"/>
      <c r="E10" s="76"/>
      <c r="F10" s="194">
        <v>9.1999999999999998E-2</v>
      </c>
      <c r="G10" s="194"/>
      <c r="H10" s="194"/>
      <c r="I10" s="194"/>
      <c r="J10" s="194"/>
      <c r="K10" s="194"/>
      <c r="L10" s="77"/>
      <c r="N10" s="216"/>
    </row>
    <row r="11" spans="1:14" s="78" customFormat="1" ht="25.15" customHeight="1" x14ac:dyDescent="0.25">
      <c r="A11" s="14" t="s">
        <v>25</v>
      </c>
      <c r="B11" s="10" t="s">
        <v>160</v>
      </c>
      <c r="C11" s="75" t="s">
        <v>5</v>
      </c>
      <c r="D11" s="12"/>
      <c r="E11" s="12"/>
      <c r="F11" s="12">
        <f>G11*(1-$F$12)</f>
        <v>1.2167022044231981</v>
      </c>
      <c r="G11" s="12">
        <f>H11*(1-$F$12)</f>
        <v>1.2687197126414997</v>
      </c>
      <c r="H11" s="12">
        <f>I11*(1-$F$12)</f>
        <v>1.3229611184999999</v>
      </c>
      <c r="I11" s="12">
        <f>J11*(1-$F$12)</f>
        <v>1.3795214999999998</v>
      </c>
      <c r="J11" s="12">
        <f>K11*(1-$F$12)</f>
        <v>1.4384999999999999</v>
      </c>
      <c r="K11" s="12">
        <v>1.5</v>
      </c>
      <c r="L11" s="12"/>
      <c r="N11" s="215" t="s">
        <v>173</v>
      </c>
    </row>
    <row r="12" spans="1:14" ht="42" customHeight="1" x14ac:dyDescent="0.25">
      <c r="A12" s="3" t="s">
        <v>26</v>
      </c>
      <c r="B12" s="2" t="s">
        <v>16</v>
      </c>
      <c r="C12" s="75" t="s">
        <v>7</v>
      </c>
      <c r="D12" s="191"/>
      <c r="E12" s="191"/>
      <c r="F12" s="194">
        <v>4.1000000000000002E-2</v>
      </c>
      <c r="G12" s="194"/>
      <c r="H12" s="194"/>
      <c r="I12" s="194"/>
      <c r="J12" s="194"/>
      <c r="K12" s="194"/>
      <c r="L12" s="77"/>
      <c r="N12" s="215"/>
    </row>
    <row r="13" spans="1:14" s="78" customFormat="1" ht="43.9" customHeight="1" x14ac:dyDescent="0.25">
      <c r="A13" s="3" t="s">
        <v>27</v>
      </c>
      <c r="B13" s="2" t="s">
        <v>175</v>
      </c>
      <c r="C13" s="75" t="s">
        <v>5</v>
      </c>
      <c r="D13" s="12"/>
      <c r="E13" s="12">
        <v>2.5894599999999999</v>
      </c>
      <c r="F13" s="12">
        <f>E13*(1+F14)</f>
        <v>2.7422381399999995</v>
      </c>
      <c r="G13" s="12">
        <f>F13*(1+$F$14)</f>
        <v>2.9040301902599994</v>
      </c>
      <c r="H13" s="12">
        <f>G13*(1+$F$14)</f>
        <v>3.0753679714853392</v>
      </c>
      <c r="I13" s="12">
        <f>H13*(1+$F$14)</f>
        <v>3.256814681802974</v>
      </c>
      <c r="J13" s="12">
        <f>I13*(1+$F$14)</f>
        <v>3.4489667480293491</v>
      </c>
      <c r="K13" s="12">
        <f>J13*(1+$F$14)</f>
        <v>3.6524557861630806</v>
      </c>
      <c r="L13" s="12"/>
      <c r="N13" s="214" t="s">
        <v>176</v>
      </c>
    </row>
    <row r="14" spans="1:14" ht="25.15" customHeight="1" x14ac:dyDescent="0.25">
      <c r="A14" s="3" t="s">
        <v>174</v>
      </c>
      <c r="B14" s="2" t="s">
        <v>19</v>
      </c>
      <c r="C14" s="75" t="s">
        <v>7</v>
      </c>
      <c r="F14" s="194">
        <v>5.8999999999999997E-2</v>
      </c>
      <c r="G14" s="194"/>
      <c r="H14" s="194"/>
      <c r="I14" s="194"/>
      <c r="J14" s="194"/>
      <c r="K14" s="194"/>
      <c r="L14" s="87"/>
      <c r="N14" s="215"/>
    </row>
    <row r="15" spans="1:14" x14ac:dyDescent="0.25">
      <c r="I15" s="88"/>
    </row>
  </sheetData>
  <mergeCells count="11">
    <mergeCell ref="F14:K14"/>
    <mergeCell ref="N13:N14"/>
    <mergeCell ref="F10:K10"/>
    <mergeCell ref="N9:N10"/>
    <mergeCell ref="A6:B6"/>
    <mergeCell ref="N7:N8"/>
    <mergeCell ref="N11:N12"/>
    <mergeCell ref="D12:E12"/>
    <mergeCell ref="F12:K12"/>
    <mergeCell ref="F8:L8"/>
    <mergeCell ref="D8:E8"/>
  </mergeCells>
  <hyperlinks>
    <hyperlink ref="N13" r:id="rId1" display="https://www.researchandmarkets.com/reports/4536316/carbon-fiber-market-growth-trends-covid-19" xr:uid="{87EC12C7-9874-4FA6-9D2E-091D45A52C7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E4CC-78D8-4EC1-9357-A03452B74BC6}">
  <dimension ref="A4:R39"/>
  <sheetViews>
    <sheetView workbookViewId="0">
      <selection activeCell="I7" sqref="I7"/>
    </sheetView>
  </sheetViews>
  <sheetFormatPr defaultColWidth="8.85546875" defaultRowHeight="15" outlineLevelRow="1" x14ac:dyDescent="0.25"/>
  <cols>
    <col min="1" max="1" width="8.85546875" style="75"/>
    <col min="2" max="2" width="40" style="75" customWidth="1"/>
    <col min="3" max="3" width="17.28515625" style="75" customWidth="1"/>
    <col min="4" max="15" width="10.7109375" style="75" customWidth="1"/>
    <col min="16" max="16" width="8.85546875" style="75"/>
    <col min="17" max="17" width="21.85546875" style="75" customWidth="1"/>
    <col min="18" max="16384" width="8.85546875" style="75"/>
  </cols>
  <sheetData>
    <row r="4" spans="1:17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O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Q4" s="5" t="s">
        <v>8</v>
      </c>
    </row>
    <row r="5" spans="1:17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Q5" s="16"/>
    </row>
    <row r="6" spans="1:17" ht="25.15" customHeight="1" x14ac:dyDescent="0.25">
      <c r="A6" s="196" t="s">
        <v>23</v>
      </c>
      <c r="B6" s="196"/>
    </row>
    <row r="7" spans="1:17" ht="25.15" customHeight="1" outlineLevel="1" x14ac:dyDescent="0.25">
      <c r="A7" s="3" t="s">
        <v>6</v>
      </c>
      <c r="B7" s="2" t="s">
        <v>157</v>
      </c>
      <c r="C7" s="75" t="s">
        <v>5</v>
      </c>
      <c r="D7" s="7">
        <f>D14+D20+D26+D32</f>
        <v>6300</v>
      </c>
      <c r="E7" s="7">
        <f t="shared" ref="E7:O7" si="1">E14+E20+E26+E32</f>
        <v>6700</v>
      </c>
      <c r="F7" s="7">
        <f t="shared" si="1"/>
        <v>6900</v>
      </c>
      <c r="G7" s="7">
        <f t="shared" si="1"/>
        <v>8000</v>
      </c>
      <c r="H7" s="7">
        <f t="shared" si="1"/>
        <v>8400</v>
      </c>
      <c r="I7" s="7">
        <f t="shared" si="1"/>
        <v>6700</v>
      </c>
      <c r="J7" s="7">
        <f t="shared" si="1"/>
        <v>7000</v>
      </c>
      <c r="K7" s="7">
        <f t="shared" si="1"/>
        <v>6900</v>
      </c>
      <c r="L7" s="7">
        <f t="shared" si="1"/>
        <v>7400</v>
      </c>
      <c r="M7" s="7">
        <f t="shared" si="1"/>
        <v>8000</v>
      </c>
      <c r="N7" s="7">
        <f t="shared" si="1"/>
        <v>8700</v>
      </c>
      <c r="O7" s="7">
        <f t="shared" si="1"/>
        <v>9200</v>
      </c>
      <c r="Q7" s="193" t="s">
        <v>165</v>
      </c>
    </row>
    <row r="8" spans="1:17" ht="25.15" customHeight="1" outlineLevel="1" x14ac:dyDescent="0.25">
      <c r="A8" s="3" t="s">
        <v>24</v>
      </c>
      <c r="B8" s="2" t="s">
        <v>19</v>
      </c>
      <c r="C8" s="75" t="s">
        <v>7</v>
      </c>
      <c r="D8" s="191">
        <v>7.0000000000000001E-3</v>
      </c>
      <c r="E8" s="191"/>
      <c r="F8" s="191"/>
      <c r="G8" s="191"/>
      <c r="H8" s="191"/>
      <c r="I8" s="191"/>
      <c r="J8" s="194">
        <v>5.2999999999999999E-2</v>
      </c>
      <c r="K8" s="194"/>
      <c r="L8" s="194"/>
      <c r="M8" s="194"/>
      <c r="N8" s="194"/>
      <c r="O8" s="194"/>
      <c r="Q8" s="193"/>
    </row>
    <row r="9" spans="1:17" s="78" customFormat="1" ht="25.15" customHeight="1" outlineLevel="1" x14ac:dyDescent="0.25">
      <c r="A9" s="14" t="s">
        <v>25</v>
      </c>
      <c r="B9" s="10" t="s">
        <v>157</v>
      </c>
      <c r="C9" s="78" t="s">
        <v>10</v>
      </c>
      <c r="D9" s="12">
        <f>D16+D22+D28+D34</f>
        <v>95.392080000000007</v>
      </c>
      <c r="E9" s="12">
        <f t="shared" ref="E9:O9" si="2">E16+E22+E28+E34</f>
        <v>104.37336000000001</v>
      </c>
      <c r="F9" s="12">
        <f t="shared" si="2"/>
        <v>110.95056000000001</v>
      </c>
      <c r="G9" s="12">
        <f t="shared" si="2"/>
        <v>122.83488000000001</v>
      </c>
      <c r="H9" s="12">
        <f t="shared" si="2"/>
        <v>130.77288000000001</v>
      </c>
      <c r="I9" s="12">
        <f t="shared" si="2"/>
        <v>119.34216000000002</v>
      </c>
      <c r="J9" s="12">
        <f t="shared" si="2"/>
        <v>133.13159999999999</v>
      </c>
      <c r="K9" s="12">
        <f t="shared" si="2"/>
        <v>123.65136000000001</v>
      </c>
      <c r="L9" s="12">
        <f t="shared" si="2"/>
        <v>132.17904000000001</v>
      </c>
      <c r="M9" s="12">
        <f t="shared" si="2"/>
        <v>142.38504000000003</v>
      </c>
      <c r="N9" s="12">
        <f t="shared" si="2"/>
        <v>152.99928</v>
      </c>
      <c r="O9" s="12">
        <f t="shared" si="2"/>
        <v>160.89191999999997</v>
      </c>
      <c r="Q9" s="192" t="s">
        <v>159</v>
      </c>
    </row>
    <row r="10" spans="1:17" ht="25.15" customHeight="1" outlineLevel="1" x14ac:dyDescent="0.25">
      <c r="A10" s="3" t="s">
        <v>26</v>
      </c>
      <c r="B10" s="2" t="s">
        <v>16</v>
      </c>
      <c r="C10" s="75" t="s">
        <v>7</v>
      </c>
      <c r="D10" s="191">
        <f>(I9/D9)^(1/5)-1</f>
        <v>4.5818488124983903E-2</v>
      </c>
      <c r="E10" s="191"/>
      <c r="F10" s="191"/>
      <c r="G10" s="191"/>
      <c r="H10" s="191"/>
      <c r="I10" s="191"/>
      <c r="J10" s="194">
        <f>(O9/J9)^(1/5)-1</f>
        <v>3.8605496362811298E-2</v>
      </c>
      <c r="K10" s="194"/>
      <c r="L10" s="194"/>
      <c r="M10" s="194"/>
      <c r="N10" s="194"/>
      <c r="O10" s="194"/>
      <c r="Q10" s="192"/>
    </row>
    <row r="11" spans="1:17" s="78" customFormat="1" ht="25.15" customHeight="1" outlineLevel="1" x14ac:dyDescent="0.25">
      <c r="A11" s="14" t="s">
        <v>27</v>
      </c>
      <c r="B11" s="10" t="s">
        <v>158</v>
      </c>
      <c r="C11" s="78" t="s">
        <v>21</v>
      </c>
      <c r="D11" s="12">
        <f>D7/D9</f>
        <v>66.043218682305692</v>
      </c>
      <c r="E11" s="12">
        <f t="shared" ref="E11:O11" si="3">E7/E9</f>
        <v>64.192625397898468</v>
      </c>
      <c r="F11" s="12">
        <f t="shared" si="3"/>
        <v>62.189861862797265</v>
      </c>
      <c r="G11" s="12">
        <f t="shared" si="3"/>
        <v>65.128080883866204</v>
      </c>
      <c r="H11" s="12">
        <f t="shared" si="3"/>
        <v>64.233501625107579</v>
      </c>
      <c r="I11" s="12">
        <f t="shared" si="3"/>
        <v>56.14109883715863</v>
      </c>
      <c r="J11" s="12">
        <f t="shared" si="3"/>
        <v>52.579552863482455</v>
      </c>
      <c r="K11" s="12">
        <f t="shared" si="3"/>
        <v>55.802055068379346</v>
      </c>
      <c r="L11" s="12">
        <f t="shared" si="3"/>
        <v>55.984670489360482</v>
      </c>
      <c r="M11" s="12">
        <f t="shared" si="3"/>
        <v>56.185677933580649</v>
      </c>
      <c r="N11" s="12">
        <f t="shared" si="3"/>
        <v>56.863012688687164</v>
      </c>
      <c r="O11" s="12">
        <f t="shared" si="3"/>
        <v>57.181243160004563</v>
      </c>
      <c r="Q11" s="78" t="s">
        <v>22</v>
      </c>
    </row>
    <row r="12" spans="1:17" s="78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s="78" customFormat="1" ht="25.15" customHeight="1" x14ac:dyDescent="0.25">
      <c r="A13" s="197" t="s">
        <v>63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7" s="78" customFormat="1" ht="25.15" customHeight="1" outlineLevel="1" x14ac:dyDescent="0.25">
      <c r="A14" s="14" t="s">
        <v>9</v>
      </c>
      <c r="B14" s="10" t="s">
        <v>157</v>
      </c>
      <c r="C14" s="75" t="s">
        <v>5</v>
      </c>
      <c r="D14" s="78">
        <f>2.3*1000</f>
        <v>2300</v>
      </c>
      <c r="E14" s="78">
        <f>2.5*1000</f>
        <v>2500</v>
      </c>
      <c r="F14" s="78">
        <f>2.6*1000</f>
        <v>2600</v>
      </c>
      <c r="G14" s="78">
        <f>3.1*1000</f>
        <v>3100</v>
      </c>
      <c r="H14" s="78">
        <f>3.3*1000</f>
        <v>3300</v>
      </c>
      <c r="I14" s="78">
        <f>2.6*1000</f>
        <v>2600</v>
      </c>
      <c r="J14" s="78">
        <f>2.8*1000</f>
        <v>2800</v>
      </c>
      <c r="K14" s="78">
        <f>2.4*1000</f>
        <v>2400</v>
      </c>
      <c r="L14" s="78">
        <f>2.6*1000</f>
        <v>2600</v>
      </c>
      <c r="M14" s="78">
        <f>2.8*1000</f>
        <v>2800</v>
      </c>
      <c r="N14" s="78">
        <f>3.1*1000</f>
        <v>3100</v>
      </c>
      <c r="O14" s="78">
        <f>3.3*1000</f>
        <v>3300</v>
      </c>
      <c r="Q14" s="192" t="s">
        <v>165</v>
      </c>
    </row>
    <row r="15" spans="1:17" ht="25.15" customHeight="1" outlineLevel="1" x14ac:dyDescent="0.25">
      <c r="A15" s="3" t="s">
        <v>29</v>
      </c>
      <c r="B15" s="2" t="s">
        <v>19</v>
      </c>
      <c r="C15" s="75" t="s">
        <v>7</v>
      </c>
      <c r="D15" s="191">
        <f>(I14/D14)^(1/5)-1</f>
        <v>2.4823563310859775E-2</v>
      </c>
      <c r="E15" s="191"/>
      <c r="F15" s="191"/>
      <c r="G15" s="191"/>
      <c r="H15" s="191"/>
      <c r="I15" s="191"/>
      <c r="J15" s="191">
        <v>2.8000000000000001E-2</v>
      </c>
      <c r="K15" s="191"/>
      <c r="L15" s="191"/>
      <c r="M15" s="191"/>
      <c r="N15" s="191"/>
      <c r="O15" s="191"/>
      <c r="Q15" s="192"/>
    </row>
    <row r="16" spans="1:17" s="78" customFormat="1" ht="25.15" customHeight="1" outlineLevel="1" x14ac:dyDescent="0.25">
      <c r="A16" s="14" t="s">
        <v>30</v>
      </c>
      <c r="B16" s="10" t="s">
        <v>157</v>
      </c>
      <c r="C16" s="75" t="s">
        <v>10</v>
      </c>
      <c r="D16" s="12">
        <f>66.1*B39</f>
        <v>29.982959999999999</v>
      </c>
      <c r="E16" s="12">
        <f>75.5*B39</f>
        <v>34.2468</v>
      </c>
      <c r="F16" s="12">
        <f>81.6*B39</f>
        <v>37.013759999999998</v>
      </c>
      <c r="G16" s="12">
        <f>96.7*B39</f>
        <v>43.863120000000002</v>
      </c>
      <c r="H16" s="12">
        <f>108.7*B39</f>
        <v>49.306319999999999</v>
      </c>
      <c r="I16" s="12">
        <f>106.9*B39</f>
        <v>48.489840000000001</v>
      </c>
      <c r="J16" s="12">
        <f>122.7*B39</f>
        <v>55.65672</v>
      </c>
      <c r="K16" s="12">
        <f>87.5*B39</f>
        <v>39.69</v>
      </c>
      <c r="L16" s="12">
        <f>94.5*B39</f>
        <v>42.865200000000002</v>
      </c>
      <c r="M16" s="12">
        <f>103.4*B39</f>
        <v>46.902240000000006</v>
      </c>
      <c r="N16" s="12">
        <f>111.7*B39</f>
        <v>50.667120000000004</v>
      </c>
      <c r="O16" s="12">
        <f>118*B39</f>
        <v>53.524799999999999</v>
      </c>
      <c r="Q16" s="192" t="s">
        <v>159</v>
      </c>
    </row>
    <row r="17" spans="1:18" s="78" customFormat="1" ht="25.15" customHeight="1" outlineLevel="1" x14ac:dyDescent="0.25">
      <c r="A17" s="14" t="s">
        <v>31</v>
      </c>
      <c r="B17" s="2" t="s">
        <v>17</v>
      </c>
      <c r="C17" s="75" t="s">
        <v>7</v>
      </c>
      <c r="D17" s="191">
        <f>(I16/D16)^(1/5)-1</f>
        <v>0.10091870130176339</v>
      </c>
      <c r="E17" s="191"/>
      <c r="F17" s="191"/>
      <c r="G17" s="191"/>
      <c r="H17" s="191"/>
      <c r="I17" s="191"/>
      <c r="J17" s="194">
        <f>(O16/J16)^(1/5)-1</f>
        <v>-7.7811146179098678E-3</v>
      </c>
      <c r="K17" s="194"/>
      <c r="L17" s="194"/>
      <c r="M17" s="194"/>
      <c r="N17" s="194"/>
      <c r="O17" s="194"/>
      <c r="Q17" s="192"/>
    </row>
    <row r="18" spans="1:18" s="78" customFormat="1" ht="25.15" customHeight="1" x14ac:dyDescent="0.25">
      <c r="A18" s="14"/>
      <c r="B18" s="2"/>
      <c r="C18" s="75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8" s="78" customFormat="1" ht="25.15" customHeight="1" outlineLevel="1" x14ac:dyDescent="0.25">
      <c r="A19" s="197" t="s">
        <v>64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8" s="78" customFormat="1" ht="25.15" customHeight="1" outlineLevel="1" x14ac:dyDescent="0.25">
      <c r="A20" s="14" t="s">
        <v>12</v>
      </c>
      <c r="B20" s="10" t="s">
        <v>157</v>
      </c>
      <c r="C20" s="75" t="s">
        <v>5</v>
      </c>
      <c r="D20" s="46">
        <f>2.4*1000</f>
        <v>2400</v>
      </c>
      <c r="E20" s="46">
        <f>2.5*1000</f>
        <v>2500</v>
      </c>
      <c r="F20" s="46">
        <f>2.6*1000</f>
        <v>2600</v>
      </c>
      <c r="G20" s="46">
        <f>3*1000</f>
        <v>3000</v>
      </c>
      <c r="H20" s="46">
        <f>3*1000</f>
        <v>3000</v>
      </c>
      <c r="I20" s="46">
        <f>2.3*1000</f>
        <v>2300</v>
      </c>
      <c r="J20" s="46">
        <f>2.4*1000</f>
        <v>2400</v>
      </c>
      <c r="K20" s="46">
        <f>2.6*1000</f>
        <v>2600</v>
      </c>
      <c r="L20" s="46">
        <f>2.8*1000</f>
        <v>2800</v>
      </c>
      <c r="M20" s="46">
        <f>3*1000</f>
        <v>3000</v>
      </c>
      <c r="N20" s="46">
        <f>3.3*1000</f>
        <v>3300</v>
      </c>
      <c r="O20" s="46">
        <f>3.5*1000</f>
        <v>3500</v>
      </c>
      <c r="Q20" s="193" t="s">
        <v>165</v>
      </c>
    </row>
    <row r="21" spans="1:18" ht="25.15" customHeight="1" outlineLevel="1" x14ac:dyDescent="0.25">
      <c r="A21" s="3" t="s">
        <v>33</v>
      </c>
      <c r="B21" s="2" t="s">
        <v>19</v>
      </c>
      <c r="C21" s="75" t="s">
        <v>7</v>
      </c>
      <c r="D21" s="191">
        <v>-1.4E-2</v>
      </c>
      <c r="E21" s="191"/>
      <c r="F21" s="191"/>
      <c r="G21" s="191"/>
      <c r="H21" s="191"/>
      <c r="I21" s="191"/>
      <c r="J21" s="194">
        <v>7.6999999999999999E-2</v>
      </c>
      <c r="K21" s="194"/>
      <c r="L21" s="194"/>
      <c r="M21" s="194"/>
      <c r="N21" s="194"/>
      <c r="O21" s="194"/>
      <c r="Q21" s="193"/>
    </row>
    <row r="22" spans="1:18" ht="25.15" customHeight="1" outlineLevel="1" x14ac:dyDescent="0.25">
      <c r="A22" s="3" t="s">
        <v>34</v>
      </c>
      <c r="B22" s="10" t="s">
        <v>157</v>
      </c>
      <c r="C22" s="75" t="s">
        <v>10</v>
      </c>
      <c r="D22" s="12">
        <f>88.8*B39</f>
        <v>40.279679999999999</v>
      </c>
      <c r="E22" s="12">
        <f>94.1*B39</f>
        <v>42.683759999999999</v>
      </c>
      <c r="F22" s="12">
        <f>100*B39</f>
        <v>45.36</v>
      </c>
      <c r="G22" s="12">
        <f>105.6*B39</f>
        <v>47.90016</v>
      </c>
      <c r="H22" s="12">
        <f>107.5*B39</f>
        <v>48.762</v>
      </c>
      <c r="I22" s="12">
        <f>90.9*B39</f>
        <v>41.232240000000004</v>
      </c>
      <c r="J22" s="12">
        <f>100.5*B39</f>
        <v>45.586800000000004</v>
      </c>
      <c r="K22" s="12">
        <f>111.8*B39</f>
        <v>50.712479999999999</v>
      </c>
      <c r="L22" s="12">
        <f>119.8*B39</f>
        <v>54.341279999999998</v>
      </c>
      <c r="M22" s="12">
        <f>128.4*B39</f>
        <v>58.242240000000002</v>
      </c>
      <c r="N22" s="12">
        <f>138.6*B39</f>
        <v>62.868960000000001</v>
      </c>
      <c r="O22" s="12">
        <f>145.2*B39</f>
        <v>65.862719999999996</v>
      </c>
      <c r="Q22" s="192" t="s">
        <v>159</v>
      </c>
    </row>
    <row r="23" spans="1:18" s="78" customFormat="1" ht="25.15" customHeight="1" outlineLevel="1" x14ac:dyDescent="0.25">
      <c r="A23" s="14" t="s">
        <v>35</v>
      </c>
      <c r="B23" s="2" t="s">
        <v>17</v>
      </c>
      <c r="C23" s="75" t="s">
        <v>7</v>
      </c>
      <c r="D23" s="191">
        <f>(I22/D22)^(1/5)-1</f>
        <v>4.6856135534614207E-3</v>
      </c>
      <c r="E23" s="191"/>
      <c r="F23" s="191"/>
      <c r="G23" s="191"/>
      <c r="H23" s="191"/>
      <c r="I23" s="191"/>
      <c r="J23" s="194">
        <f>(O22/J22)^(1/5)-1</f>
        <v>7.6366346996008971E-2</v>
      </c>
      <c r="K23" s="194"/>
      <c r="L23" s="194"/>
      <c r="M23" s="194"/>
      <c r="N23" s="194"/>
      <c r="O23" s="194"/>
      <c r="Q23" s="192"/>
    </row>
    <row r="24" spans="1:18" s="78" customFormat="1" ht="25.15" customHeight="1" x14ac:dyDescent="0.25">
      <c r="A24" s="14"/>
      <c r="B24" s="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8" s="78" customFormat="1" ht="25.15" customHeight="1" outlineLevel="1" x14ac:dyDescent="0.25">
      <c r="A25" s="213" t="s">
        <v>156</v>
      </c>
      <c r="B25" s="21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8" s="78" customFormat="1" ht="25.15" customHeight="1" outlineLevel="1" x14ac:dyDescent="0.25">
      <c r="A26" s="14" t="s">
        <v>14</v>
      </c>
      <c r="B26" s="10" t="s">
        <v>157</v>
      </c>
      <c r="C26" s="78" t="s">
        <v>5</v>
      </c>
      <c r="D26" s="46">
        <f>1.3*1000</f>
        <v>1300</v>
      </c>
      <c r="E26" s="46">
        <f>1.4*1000</f>
        <v>1400</v>
      </c>
      <c r="F26" s="46">
        <f>1.4*1000</f>
        <v>1400</v>
      </c>
      <c r="G26" s="46">
        <f>1.6*1000</f>
        <v>1600</v>
      </c>
      <c r="H26" s="46">
        <f>1.7*1000</f>
        <v>1700</v>
      </c>
      <c r="I26" s="46">
        <f>1.5*1000</f>
        <v>1500</v>
      </c>
      <c r="J26" s="46">
        <f>1.5*1000</f>
        <v>1500</v>
      </c>
      <c r="K26" s="46">
        <f>1.6*1000</f>
        <v>1600</v>
      </c>
      <c r="L26" s="46">
        <f>1.7*1000</f>
        <v>1700</v>
      </c>
      <c r="M26" s="46">
        <f>1.8*1000</f>
        <v>1800</v>
      </c>
      <c r="N26" s="46">
        <f>1.9*1000</f>
        <v>1900</v>
      </c>
      <c r="O26" s="46">
        <f>2*1000</f>
        <v>2000</v>
      </c>
      <c r="Q26" s="193" t="s">
        <v>165</v>
      </c>
    </row>
    <row r="27" spans="1:18" s="78" customFormat="1" ht="25.15" customHeight="1" outlineLevel="1" x14ac:dyDescent="0.25">
      <c r="A27" s="3" t="s">
        <v>37</v>
      </c>
      <c r="B27" s="2" t="s">
        <v>19</v>
      </c>
      <c r="C27" s="75" t="s">
        <v>7</v>
      </c>
      <c r="D27" s="191">
        <v>1.9E-2</v>
      </c>
      <c r="E27" s="191"/>
      <c r="F27" s="191"/>
      <c r="G27" s="191"/>
      <c r="H27" s="191"/>
      <c r="I27" s="191"/>
      <c r="J27" s="194">
        <v>5.5E-2</v>
      </c>
      <c r="K27" s="194"/>
      <c r="L27" s="194"/>
      <c r="M27" s="194"/>
      <c r="N27" s="194"/>
      <c r="O27" s="194"/>
      <c r="P27" s="79"/>
      <c r="Q27" s="193"/>
      <c r="R27" s="79"/>
    </row>
    <row r="28" spans="1:18" s="78" customFormat="1" ht="25.15" customHeight="1" outlineLevel="1" x14ac:dyDescent="0.25">
      <c r="A28" s="3" t="s">
        <v>38</v>
      </c>
      <c r="B28" s="10" t="s">
        <v>157</v>
      </c>
      <c r="C28" s="75" t="s">
        <v>10</v>
      </c>
      <c r="D28" s="12">
        <f>45.4*B39</f>
        <v>20.593440000000001</v>
      </c>
      <c r="E28" s="12">
        <f>50.5*B39</f>
        <v>22.9068</v>
      </c>
      <c r="F28" s="12">
        <f>52.6*B39</f>
        <v>23.859360000000002</v>
      </c>
      <c r="G28" s="12">
        <f>57.7*B39</f>
        <v>26.172720000000002</v>
      </c>
      <c r="H28" s="12">
        <f>60.7*B39</f>
        <v>27.533520000000003</v>
      </c>
      <c r="I28" s="12">
        <f>55.7*B39</f>
        <v>25.265520000000002</v>
      </c>
      <c r="J28" s="12">
        <f>59.7*B39</f>
        <v>27.079920000000001</v>
      </c>
      <c r="K28" s="12">
        <f>62.4*B39</f>
        <v>28.304639999999999</v>
      </c>
      <c r="L28" s="12">
        <f>65.3*B39</f>
        <v>29.620079999999998</v>
      </c>
      <c r="M28" s="12">
        <f>69.3*B39</f>
        <v>31.434480000000001</v>
      </c>
      <c r="N28" s="12">
        <f>73.4*B39</f>
        <v>33.294240000000002</v>
      </c>
      <c r="O28" s="12">
        <f>77.1*B39</f>
        <v>34.972559999999994</v>
      </c>
      <c r="Q28" s="192" t="s">
        <v>159</v>
      </c>
    </row>
    <row r="29" spans="1:18" s="78" customFormat="1" ht="25.15" customHeight="1" outlineLevel="1" x14ac:dyDescent="0.25">
      <c r="A29" s="14" t="s">
        <v>39</v>
      </c>
      <c r="B29" s="2" t="s">
        <v>17</v>
      </c>
      <c r="C29" s="78" t="s">
        <v>7</v>
      </c>
      <c r="D29" s="191">
        <f>(I28/D28)^(1/5)-1</f>
        <v>4.1741267105484869E-2</v>
      </c>
      <c r="E29" s="191"/>
      <c r="F29" s="191"/>
      <c r="G29" s="191"/>
      <c r="H29" s="191"/>
      <c r="I29" s="191"/>
      <c r="J29" s="194">
        <f>(O28/J28)^(1/5)-1</f>
        <v>5.2485228750036805E-2</v>
      </c>
      <c r="K29" s="194"/>
      <c r="L29" s="194"/>
      <c r="M29" s="194"/>
      <c r="N29" s="194"/>
      <c r="O29" s="194"/>
      <c r="Q29" s="192"/>
    </row>
    <row r="30" spans="1:18" s="78" customFormat="1" ht="25.15" customHeight="1" x14ac:dyDescent="0.25">
      <c r="A30" s="14"/>
      <c r="B30" s="1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s="78" customFormat="1" ht="25.15" customHeight="1" x14ac:dyDescent="0.25">
      <c r="A31" s="198" t="s">
        <v>155</v>
      </c>
      <c r="B31" s="19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8" s="78" customFormat="1" ht="25.15" customHeight="1" outlineLevel="1" x14ac:dyDescent="0.25">
      <c r="A32" s="14" t="s">
        <v>41</v>
      </c>
      <c r="B32" s="10" t="s">
        <v>157</v>
      </c>
      <c r="C32" s="75" t="s">
        <v>5</v>
      </c>
      <c r="D32" s="12">
        <f>0.3*1000</f>
        <v>300</v>
      </c>
      <c r="E32" s="12">
        <f>0.3*1000</f>
        <v>300</v>
      </c>
      <c r="F32" s="12">
        <f>0.3*1000</f>
        <v>300</v>
      </c>
      <c r="G32" s="12">
        <f>0.3*1000</f>
        <v>300</v>
      </c>
      <c r="H32" s="12">
        <f>0.4*1000</f>
        <v>400</v>
      </c>
      <c r="I32" s="12">
        <f>0.3*1000</f>
        <v>300</v>
      </c>
      <c r="J32" s="12">
        <f>0.3*1000</f>
        <v>300</v>
      </c>
      <c r="K32" s="12">
        <f>0.3*1000</f>
        <v>300</v>
      </c>
      <c r="L32" s="12">
        <f>0.3*1000</f>
        <v>300</v>
      </c>
      <c r="M32" s="12">
        <f>0.4*1000</f>
        <v>400</v>
      </c>
      <c r="N32" s="12">
        <f>0.4*1000</f>
        <v>400</v>
      </c>
      <c r="O32" s="12">
        <f>0.4*1000</f>
        <v>400</v>
      </c>
      <c r="Q32" s="193" t="s">
        <v>165</v>
      </c>
    </row>
    <row r="33" spans="1:17" ht="25.15" customHeight="1" outlineLevel="1" x14ac:dyDescent="0.25">
      <c r="A33" s="3" t="s">
        <v>42</v>
      </c>
      <c r="B33" s="2" t="s">
        <v>19</v>
      </c>
      <c r="C33" s="75" t="s">
        <v>7</v>
      </c>
      <c r="D33" s="191">
        <v>-2.3E-2</v>
      </c>
      <c r="E33" s="191"/>
      <c r="F33" s="191"/>
      <c r="G33" s="191"/>
      <c r="H33" s="191"/>
      <c r="I33" s="191"/>
      <c r="J33" s="194">
        <v>7.1999999999999995E-2</v>
      </c>
      <c r="K33" s="194"/>
      <c r="L33" s="194"/>
      <c r="M33" s="194"/>
      <c r="N33" s="194"/>
      <c r="O33" s="194"/>
      <c r="Q33" s="193"/>
    </row>
    <row r="34" spans="1:17" ht="25.15" customHeight="1" outlineLevel="1" x14ac:dyDescent="0.25">
      <c r="A34" s="3" t="s">
        <v>43</v>
      </c>
      <c r="B34" s="10" t="s">
        <v>157</v>
      </c>
      <c r="C34" s="75" t="s">
        <v>10</v>
      </c>
      <c r="D34" s="12">
        <f>10*B39</f>
        <v>4.5359999999999996</v>
      </c>
      <c r="E34" s="12">
        <f>10*B39</f>
        <v>4.5359999999999996</v>
      </c>
      <c r="F34" s="12">
        <f>10.4*B39</f>
        <v>4.7174399999999999</v>
      </c>
      <c r="G34" s="12">
        <f>10.8*B39</f>
        <v>4.8988800000000001</v>
      </c>
      <c r="H34" s="12">
        <f>11.4*B39</f>
        <v>5.1710400000000005</v>
      </c>
      <c r="I34" s="12">
        <f>9.6*B39</f>
        <v>4.3545600000000002</v>
      </c>
      <c r="J34" s="12">
        <f>10.6*B39</f>
        <v>4.80816</v>
      </c>
      <c r="K34" s="12">
        <f>10.9*B39</f>
        <v>4.9442400000000006</v>
      </c>
      <c r="L34" s="12">
        <f>11.8*B39</f>
        <v>5.3524800000000008</v>
      </c>
      <c r="M34" s="12">
        <f>12.8*B39</f>
        <v>5.8060800000000006</v>
      </c>
      <c r="N34" s="12">
        <f>13.6*B39</f>
        <v>6.1689600000000002</v>
      </c>
      <c r="O34" s="12">
        <f>14.4*B39</f>
        <v>6.5318399999999999</v>
      </c>
      <c r="Q34" s="192" t="s">
        <v>159</v>
      </c>
    </row>
    <row r="35" spans="1:17" ht="25.15" customHeight="1" outlineLevel="1" x14ac:dyDescent="0.25">
      <c r="A35" s="14" t="s">
        <v>44</v>
      </c>
      <c r="B35" s="2" t="s">
        <v>17</v>
      </c>
      <c r="C35" s="75" t="s">
        <v>7</v>
      </c>
      <c r="D35" s="191">
        <v>-8.9999999999999993E-3</v>
      </c>
      <c r="E35" s="191"/>
      <c r="F35" s="191"/>
      <c r="G35" s="191"/>
      <c r="H35" s="191"/>
      <c r="I35" s="191"/>
      <c r="J35" s="194">
        <f>(O34/J34)^(1/5)-1</f>
        <v>6.3191082634400875E-2</v>
      </c>
      <c r="K35" s="194"/>
      <c r="L35" s="194"/>
      <c r="M35" s="194"/>
      <c r="N35" s="194"/>
      <c r="O35" s="194"/>
      <c r="Q35" s="192"/>
    </row>
    <row r="36" spans="1:17" ht="25.15" customHeight="1" x14ac:dyDescent="0.25">
      <c r="A36" s="14"/>
      <c r="B36" s="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Q36" s="78"/>
    </row>
    <row r="37" spans="1:17" s="78" customFormat="1" x14ac:dyDescent="0.2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9" spans="1:17" ht="30" x14ac:dyDescent="0.25">
      <c r="A39" s="75" t="s">
        <v>3</v>
      </c>
      <c r="B39" s="2">
        <v>0.4536</v>
      </c>
    </row>
  </sheetData>
  <mergeCells count="35">
    <mergeCell ref="Q34:Q35"/>
    <mergeCell ref="D35:I35"/>
    <mergeCell ref="J35:O35"/>
    <mergeCell ref="A31:B31"/>
    <mergeCell ref="Q32:Q33"/>
    <mergeCell ref="D33:I33"/>
    <mergeCell ref="J33:O33"/>
    <mergeCell ref="J29:O29"/>
    <mergeCell ref="D29:I29"/>
    <mergeCell ref="Q20:Q21"/>
    <mergeCell ref="D21:I21"/>
    <mergeCell ref="J21:O21"/>
    <mergeCell ref="Q22:Q23"/>
    <mergeCell ref="D23:I23"/>
    <mergeCell ref="J23:O23"/>
    <mergeCell ref="Q28:Q29"/>
    <mergeCell ref="Q26:Q27"/>
    <mergeCell ref="D27:I27"/>
    <mergeCell ref="J27:O27"/>
    <mergeCell ref="A19:B19"/>
    <mergeCell ref="Q16:Q17"/>
    <mergeCell ref="D17:I17"/>
    <mergeCell ref="J17:O17"/>
    <mergeCell ref="A25:B25"/>
    <mergeCell ref="A13:B13"/>
    <mergeCell ref="Q14:Q15"/>
    <mergeCell ref="D15:I15"/>
    <mergeCell ref="J15:O15"/>
    <mergeCell ref="A6:B6"/>
    <mergeCell ref="Q7:Q8"/>
    <mergeCell ref="D8:I8"/>
    <mergeCell ref="J8:O8"/>
    <mergeCell ref="Q9:Q10"/>
    <mergeCell ref="D10:I10"/>
    <mergeCell ref="J10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E73A-944A-4BED-9C04-7A0F14658195}">
  <dimension ref="A3:O33"/>
  <sheetViews>
    <sheetView workbookViewId="0">
      <selection sqref="A1:XFD1048576"/>
    </sheetView>
  </sheetViews>
  <sheetFormatPr defaultRowHeight="14.25" x14ac:dyDescent="0.25"/>
  <cols>
    <col min="1" max="1" width="9.140625" style="312"/>
    <col min="2" max="2" width="42.5703125" style="220" customWidth="1"/>
    <col min="3" max="3" width="35" style="220" customWidth="1"/>
    <col min="4" max="4" width="22.28515625" style="313" customWidth="1"/>
    <col min="5" max="9" width="10.7109375" style="220" customWidth="1"/>
    <col min="10" max="11" width="13.7109375" style="220" customWidth="1"/>
    <col min="12" max="12" width="12.85546875" style="220" customWidth="1"/>
    <col min="13" max="13" width="13" style="220" customWidth="1"/>
    <col min="14" max="15" width="12.7109375" style="220" customWidth="1"/>
    <col min="16" max="16384" width="9.140625" style="220"/>
  </cols>
  <sheetData>
    <row r="3" spans="1:15" ht="15.75" thickBot="1" x14ac:dyDescent="0.3">
      <c r="A3" s="217" t="s">
        <v>0</v>
      </c>
      <c r="B3" s="217" t="s">
        <v>1</v>
      </c>
      <c r="C3" s="218" t="s">
        <v>2</v>
      </c>
      <c r="D3" s="219" t="s">
        <v>8</v>
      </c>
      <c r="E3" s="218">
        <v>2020</v>
      </c>
      <c r="F3" s="218">
        <f>E3+1</f>
        <v>2021</v>
      </c>
      <c r="G3" s="218">
        <f t="shared" ref="G3:O3" si="0">F3+1</f>
        <v>2022</v>
      </c>
      <c r="H3" s="218">
        <f t="shared" si="0"/>
        <v>2023</v>
      </c>
      <c r="I3" s="218">
        <f t="shared" si="0"/>
        <v>2024</v>
      </c>
      <c r="J3" s="218">
        <f t="shared" si="0"/>
        <v>2025</v>
      </c>
      <c r="K3" s="218">
        <f t="shared" si="0"/>
        <v>2026</v>
      </c>
      <c r="L3" s="218">
        <f t="shared" si="0"/>
        <v>2027</v>
      </c>
      <c r="M3" s="218">
        <f>L3+1</f>
        <v>2028</v>
      </c>
      <c r="N3" s="218">
        <f t="shared" si="0"/>
        <v>2029</v>
      </c>
      <c r="O3" s="218">
        <f t="shared" si="0"/>
        <v>2030</v>
      </c>
    </row>
    <row r="4" spans="1:15" x14ac:dyDescent="0.25">
      <c r="A4" s="221">
        <v>1</v>
      </c>
      <c r="B4" s="222" t="s">
        <v>4</v>
      </c>
      <c r="C4" s="223" t="s">
        <v>5</v>
      </c>
      <c r="D4" s="224" t="s">
        <v>249</v>
      </c>
      <c r="E4" s="225">
        <v>2127.9</v>
      </c>
      <c r="F4" s="225">
        <v>2822</v>
      </c>
      <c r="G4" s="225">
        <v>3218.1</v>
      </c>
      <c r="H4" s="225">
        <v>3439.5</v>
      </c>
      <c r="I4" s="225">
        <v>3653.5</v>
      </c>
      <c r="J4" s="225">
        <v>4041.5</v>
      </c>
      <c r="K4" s="225">
        <v>4261.7</v>
      </c>
      <c r="L4" s="225">
        <v>4541.3999999999996</v>
      </c>
      <c r="M4" s="226">
        <f>L4*(1+$H$5)</f>
        <v>4865.2795566598406</v>
      </c>
      <c r="N4" s="226">
        <f t="shared" ref="N4:O4" si="1">M4*(1+$H$5)</f>
        <v>5212.2572696640191</v>
      </c>
      <c r="O4" s="226">
        <f t="shared" si="1"/>
        <v>5583.9804329387389</v>
      </c>
    </row>
    <row r="5" spans="1:15" x14ac:dyDescent="0.25">
      <c r="A5" s="227"/>
      <c r="B5" s="228"/>
      <c r="C5" s="229" t="s">
        <v>250</v>
      </c>
      <c r="D5" s="230"/>
      <c r="E5" s="231"/>
      <c r="F5" s="231"/>
      <c r="G5" s="231"/>
      <c r="H5" s="232">
        <f>(L4/G4)^(1/5)-1</f>
        <v>7.1317117333826729E-2</v>
      </c>
      <c r="I5" s="233"/>
      <c r="J5" s="233"/>
      <c r="K5" s="233"/>
      <c r="L5" s="234"/>
      <c r="M5" s="235">
        <f>H5</f>
        <v>7.1317117333826729E-2</v>
      </c>
      <c r="N5" s="236"/>
      <c r="O5" s="236"/>
    </row>
    <row r="6" spans="1:15" x14ac:dyDescent="0.25">
      <c r="A6" s="227"/>
      <c r="B6" s="228"/>
      <c r="C6" s="229" t="s">
        <v>10</v>
      </c>
      <c r="D6" s="230"/>
      <c r="E6" s="237">
        <v>78.654240000000001</v>
      </c>
      <c r="F6" s="237">
        <v>79.652159999999995</v>
      </c>
      <c r="G6" s="237">
        <v>87.680880000000002</v>
      </c>
      <c r="H6" s="237">
        <v>93.804480000000012</v>
      </c>
      <c r="I6" s="237">
        <v>99.247680000000003</v>
      </c>
      <c r="J6" s="237">
        <v>110.4516</v>
      </c>
      <c r="K6" s="237">
        <v>116.07624</v>
      </c>
      <c r="L6" s="237">
        <v>124.19568000000001</v>
      </c>
      <c r="M6" s="238">
        <f>L6*(1+$H$5)</f>
        <v>133.0529578829144</v>
      </c>
      <c r="N6" s="238">
        <f t="shared" ref="N6:O6" si="2">M6*(1+$H$5)</f>
        <v>142.5419112918629</v>
      </c>
      <c r="O6" s="238">
        <f t="shared" si="2"/>
        <v>152.70758950445261</v>
      </c>
    </row>
    <row r="7" spans="1:15" x14ac:dyDescent="0.25">
      <c r="A7" s="227"/>
      <c r="B7" s="228"/>
      <c r="C7" s="229" t="s">
        <v>251</v>
      </c>
      <c r="D7" s="230"/>
      <c r="E7" s="231"/>
      <c r="F7" s="231"/>
      <c r="G7" s="231"/>
      <c r="H7" s="239">
        <f>(L6/G6)^(1/5)-1</f>
        <v>7.2112397244230575E-2</v>
      </c>
      <c r="I7" s="239"/>
      <c r="J7" s="239"/>
      <c r="K7" s="239"/>
      <c r="L7" s="239"/>
      <c r="M7" s="240">
        <f>H7</f>
        <v>7.2112397244230575E-2</v>
      </c>
      <c r="N7" s="240"/>
      <c r="O7" s="240"/>
    </row>
    <row r="8" spans="1:15" ht="15" thickBot="1" x14ac:dyDescent="0.3">
      <c r="A8" s="241"/>
      <c r="B8" s="228"/>
      <c r="C8" s="242" t="s">
        <v>252</v>
      </c>
      <c r="D8" s="243"/>
      <c r="E8" s="244">
        <f>E4/E6</f>
        <v>27.053849862385043</v>
      </c>
      <c r="F8" s="244">
        <f t="shared" ref="F8:O8" si="3">F4/F6</f>
        <v>35.429045489789608</v>
      </c>
      <c r="G8" s="244">
        <f t="shared" si="3"/>
        <v>36.70241448306632</v>
      </c>
      <c r="H8" s="244">
        <f t="shared" si="3"/>
        <v>36.666692251798629</v>
      </c>
      <c r="I8" s="244">
        <f t="shared" si="3"/>
        <v>36.811943614198334</v>
      </c>
      <c r="J8" s="244">
        <f t="shared" si="3"/>
        <v>36.590687685828001</v>
      </c>
      <c r="K8" s="244">
        <f t="shared" si="3"/>
        <v>36.714662707889225</v>
      </c>
      <c r="L8" s="244">
        <f t="shared" si="3"/>
        <v>36.566489269191969</v>
      </c>
      <c r="M8" s="244">
        <f t="shared" si="3"/>
        <v>36.566489269191969</v>
      </c>
      <c r="N8" s="244">
        <f t="shared" si="3"/>
        <v>36.566489269191976</v>
      </c>
      <c r="O8" s="244">
        <f t="shared" si="3"/>
        <v>36.566489269191969</v>
      </c>
    </row>
    <row r="9" spans="1:15" x14ac:dyDescent="0.25">
      <c r="A9" s="221">
        <f>A4+1</f>
        <v>2</v>
      </c>
      <c r="B9" s="228"/>
      <c r="C9" s="223" t="s">
        <v>5</v>
      </c>
      <c r="D9" s="224" t="s">
        <v>253</v>
      </c>
      <c r="E9" s="226">
        <f>F9*(1-$G$10)</f>
        <v>2206.4840270999998</v>
      </c>
      <c r="F9" s="226">
        <f>G9*(1-$G$10)</f>
        <v>2481.1469999999999</v>
      </c>
      <c r="G9" s="226">
        <v>2790</v>
      </c>
      <c r="H9" s="226">
        <f>G9*(1+$G$10)</f>
        <v>3098.8530000000001</v>
      </c>
      <c r="I9" s="226">
        <f t="shared" ref="I9:M9" si="4">H9*(1+$G$10)</f>
        <v>3441.8960271000001</v>
      </c>
      <c r="J9" s="226">
        <f t="shared" si="4"/>
        <v>3822.9139172999703</v>
      </c>
      <c r="K9" s="226">
        <f t="shared" si="4"/>
        <v>4246.1104879450768</v>
      </c>
      <c r="L9" s="226">
        <f t="shared" si="4"/>
        <v>4716.1549189605967</v>
      </c>
      <c r="M9" s="226">
        <f t="shared" si="4"/>
        <v>5238.2332684895346</v>
      </c>
      <c r="N9" s="226">
        <f>M9*(1+$G$10)</f>
        <v>5818.1056913113262</v>
      </c>
      <c r="O9" s="226">
        <f t="shared" ref="O9" si="5">N9*(1+$G$10)</f>
        <v>6462.1699913394905</v>
      </c>
    </row>
    <row r="10" spans="1:15" x14ac:dyDescent="0.25">
      <c r="A10" s="227"/>
      <c r="B10" s="228"/>
      <c r="C10" s="229" t="s">
        <v>250</v>
      </c>
      <c r="D10" s="230"/>
      <c r="E10" s="238"/>
      <c r="F10" s="238"/>
      <c r="G10" s="235">
        <v>0.11070000000000001</v>
      </c>
      <c r="H10" s="236"/>
      <c r="I10" s="236"/>
      <c r="J10" s="236"/>
      <c r="K10" s="236"/>
      <c r="L10" s="236"/>
      <c r="M10" s="245"/>
      <c r="N10" s="235">
        <f>G10</f>
        <v>0.11070000000000001</v>
      </c>
      <c r="O10" s="236"/>
    </row>
    <row r="11" spans="1:15" x14ac:dyDescent="0.25">
      <c r="A11" s="227"/>
      <c r="B11" s="228"/>
      <c r="C11" s="229" t="s">
        <v>10</v>
      </c>
      <c r="D11" s="230"/>
      <c r="E11" s="246">
        <f>F11*(1-$G$12)</f>
        <v>82.897551347800004</v>
      </c>
      <c r="F11" s="246">
        <f>G11*(1-$G$12)</f>
        <v>92.591926000000001</v>
      </c>
      <c r="G11" s="247">
        <v>103.42</v>
      </c>
      <c r="H11" s="248">
        <f>G11*(1+$H$12)</f>
        <v>114.248074</v>
      </c>
      <c r="I11" s="248">
        <f t="shared" ref="I11:O11" si="6">H11*(1+$H$12)</f>
        <v>126.20984734780001</v>
      </c>
      <c r="J11" s="248">
        <f t="shared" si="6"/>
        <v>139.42401836511468</v>
      </c>
      <c r="K11" s="248">
        <f t="shared" si="6"/>
        <v>154.02171308794217</v>
      </c>
      <c r="L11" s="248">
        <f t="shared" si="6"/>
        <v>170.14778644824972</v>
      </c>
      <c r="M11" s="248">
        <f t="shared" si="6"/>
        <v>187.96225968938145</v>
      </c>
      <c r="N11" s="248">
        <f t="shared" si="6"/>
        <v>207.64190827885969</v>
      </c>
      <c r="O11" s="248">
        <f t="shared" si="6"/>
        <v>229.38201607565631</v>
      </c>
    </row>
    <row r="12" spans="1:15" x14ac:dyDescent="0.25">
      <c r="A12" s="227"/>
      <c r="B12" s="228"/>
      <c r="C12" s="229" t="s">
        <v>251</v>
      </c>
      <c r="D12" s="230"/>
      <c r="E12" s="246"/>
      <c r="F12" s="238"/>
      <c r="G12" s="249">
        <f>H11/G11-100%</f>
        <v>0.10470000000000002</v>
      </c>
      <c r="H12" s="236">
        <v>0.1047</v>
      </c>
      <c r="I12" s="236"/>
      <c r="J12" s="236"/>
      <c r="K12" s="236"/>
      <c r="L12" s="236"/>
      <c r="M12" s="250"/>
      <c r="N12" s="250"/>
      <c r="O12" s="250"/>
    </row>
    <row r="13" spans="1:15" ht="15" thickBot="1" x14ac:dyDescent="0.3">
      <c r="A13" s="227"/>
      <c r="B13" s="228"/>
      <c r="C13" s="242" t="s">
        <v>252</v>
      </c>
      <c r="D13" s="243"/>
      <c r="E13" s="251">
        <f t="shared" ref="E13:F13" si="7">E9/E11</f>
        <v>26.616998828380439</v>
      </c>
      <c r="F13" s="251">
        <f t="shared" si="7"/>
        <v>26.796580513942434</v>
      </c>
      <c r="G13" s="251">
        <f>G9/G11</f>
        <v>26.977373815509573</v>
      </c>
      <c r="H13" s="251">
        <f t="shared" ref="H13:O13" si="8">H9/H11</f>
        <v>27.123897073310836</v>
      </c>
      <c r="I13" s="251">
        <f t="shared" si="8"/>
        <v>27.271216148570968</v>
      </c>
      <c r="J13" s="251">
        <f t="shared" si="8"/>
        <v>27.419335363644223</v>
      </c>
      <c r="K13" s="251">
        <f t="shared" si="8"/>
        <v>27.568259064361037</v>
      </c>
      <c r="L13" s="251">
        <f t="shared" si="8"/>
        <v>27.717991620155519</v>
      </c>
      <c r="M13" s="251">
        <f t="shared" si="8"/>
        <v>27.868537424193661</v>
      </c>
      <c r="N13" s="251">
        <f t="shared" si="8"/>
        <v>28.019900893502218</v>
      </c>
      <c r="O13" s="251">
        <f t="shared" si="8"/>
        <v>28.172086469098321</v>
      </c>
    </row>
    <row r="14" spans="1:15" x14ac:dyDescent="0.25">
      <c r="A14" s="221">
        <f>A9+1</f>
        <v>3</v>
      </c>
      <c r="B14" s="228"/>
      <c r="C14" s="252" t="s">
        <v>5</v>
      </c>
      <c r="D14" s="253" t="s">
        <v>254</v>
      </c>
      <c r="E14" s="254">
        <f>E4*F14/F4</f>
        <v>3081.3256269227186</v>
      </c>
      <c r="F14" s="254">
        <f>F4*G14/G4</f>
        <v>4086.4236661384048</v>
      </c>
      <c r="G14" s="226">
        <v>4660</v>
      </c>
      <c r="H14" s="226">
        <v>5180</v>
      </c>
      <c r="I14" s="226">
        <f>H14*(1+$I$15)</f>
        <v>5744.62</v>
      </c>
      <c r="J14" s="226">
        <f t="shared" ref="J14:O14" si="9">I14*(1+$I$15)</f>
        <v>6370.7835799999993</v>
      </c>
      <c r="K14" s="226">
        <f t="shared" si="9"/>
        <v>7065.1989902199994</v>
      </c>
      <c r="L14" s="226">
        <f t="shared" si="9"/>
        <v>7835.3056801539788</v>
      </c>
      <c r="M14" s="226">
        <f t="shared" si="9"/>
        <v>8689.3539992907627</v>
      </c>
      <c r="N14" s="226">
        <f t="shared" si="9"/>
        <v>9636.4935852134549</v>
      </c>
      <c r="O14" s="226">
        <f t="shared" si="9"/>
        <v>10686.871386001721</v>
      </c>
    </row>
    <row r="15" spans="1:15" ht="15" thickBot="1" x14ac:dyDescent="0.3">
      <c r="A15" s="241"/>
      <c r="B15" s="228"/>
      <c r="C15" s="242" t="s">
        <v>255</v>
      </c>
      <c r="D15" s="255"/>
      <c r="E15" s="256"/>
      <c r="F15" s="256"/>
      <c r="G15" s="256"/>
      <c r="H15" s="256"/>
      <c r="I15" s="257">
        <v>0.109</v>
      </c>
      <c r="J15" s="258"/>
      <c r="K15" s="258"/>
      <c r="L15" s="258"/>
      <c r="M15" s="258"/>
      <c r="N15" s="258"/>
      <c r="O15" s="258"/>
    </row>
    <row r="16" spans="1:15" x14ac:dyDescent="0.25">
      <c r="A16" s="221">
        <f>A14+1</f>
        <v>4</v>
      </c>
      <c r="B16" s="228"/>
      <c r="C16" s="252" t="s">
        <v>5</v>
      </c>
      <c r="D16" s="224" t="s">
        <v>256</v>
      </c>
      <c r="E16" s="226">
        <v>5217.0000000000009</v>
      </c>
      <c r="F16" s="226">
        <v>5790.8700000000017</v>
      </c>
      <c r="G16" s="226">
        <v>6500</v>
      </c>
      <c r="H16" s="226">
        <f>G16*(1+12.9%)</f>
        <v>7338.5</v>
      </c>
      <c r="I16" s="226">
        <f t="shared" ref="I16:O16" si="10">H16*(1+12.9%)</f>
        <v>8285.1664999999994</v>
      </c>
      <c r="J16" s="226">
        <f t="shared" si="10"/>
        <v>9353.9529784999995</v>
      </c>
      <c r="K16" s="226">
        <f t="shared" si="10"/>
        <v>10560.612912726499</v>
      </c>
      <c r="L16" s="226">
        <f t="shared" si="10"/>
        <v>11922.931978468217</v>
      </c>
      <c r="M16" s="226">
        <f t="shared" si="10"/>
        <v>13460.990203690617</v>
      </c>
      <c r="N16" s="226">
        <f t="shared" si="10"/>
        <v>15197.457939966707</v>
      </c>
      <c r="O16" s="226">
        <f t="shared" si="10"/>
        <v>17157.930014222413</v>
      </c>
    </row>
    <row r="17" spans="1:15" x14ac:dyDescent="0.25">
      <c r="A17" s="227"/>
      <c r="B17" s="228"/>
      <c r="C17" s="259" t="s">
        <v>255</v>
      </c>
      <c r="D17" s="230"/>
      <c r="E17" s="235">
        <f>(G16/E16)^(1/2)-1</f>
        <v>0.11621090204390638</v>
      </c>
      <c r="F17" s="236"/>
      <c r="G17" s="245"/>
      <c r="H17" s="235">
        <v>0.129</v>
      </c>
      <c r="I17" s="236"/>
      <c r="J17" s="236"/>
      <c r="K17" s="236"/>
      <c r="L17" s="236"/>
      <c r="M17" s="236"/>
      <c r="N17" s="236"/>
      <c r="O17" s="236"/>
    </row>
    <row r="18" spans="1:15" x14ac:dyDescent="0.25">
      <c r="A18" s="227"/>
      <c r="B18" s="228"/>
      <c r="C18" s="259" t="s">
        <v>257</v>
      </c>
      <c r="D18" s="230"/>
      <c r="E18" s="238"/>
      <c r="F18" s="238"/>
      <c r="G18" s="260">
        <v>6500</v>
      </c>
      <c r="H18" s="261">
        <f>G16*(1+$H$17)</f>
        <v>7338.5</v>
      </c>
      <c r="I18" s="261">
        <f t="shared" ref="I18:O18" si="11">H16*(1+$H$17)</f>
        <v>8285.1664999999994</v>
      </c>
      <c r="J18" s="261">
        <f t="shared" si="11"/>
        <v>9353.9529784999995</v>
      </c>
      <c r="K18" s="261">
        <f t="shared" si="11"/>
        <v>10560.612912726499</v>
      </c>
      <c r="L18" s="261">
        <f t="shared" si="11"/>
        <v>11922.931978468217</v>
      </c>
      <c r="M18" s="261">
        <f t="shared" si="11"/>
        <v>13460.990203690617</v>
      </c>
      <c r="N18" s="261">
        <f t="shared" si="11"/>
        <v>15197.457939966707</v>
      </c>
      <c r="O18" s="261">
        <f t="shared" si="11"/>
        <v>17157.930014222413</v>
      </c>
    </row>
    <row r="19" spans="1:15" x14ac:dyDescent="0.25">
      <c r="A19" s="227"/>
      <c r="B19" s="228"/>
      <c r="C19" s="229" t="s">
        <v>10</v>
      </c>
      <c r="D19" s="230"/>
      <c r="E19" s="238">
        <f>F19*0.9</f>
        <v>111.339</v>
      </c>
      <c r="F19" s="238">
        <v>123.71</v>
      </c>
      <c r="G19" s="238">
        <v>136.08100000000002</v>
      </c>
      <c r="H19" s="261">
        <v>149.68910000000002</v>
      </c>
      <c r="I19" s="261">
        <v>164.65801000000005</v>
      </c>
      <c r="J19" s="261">
        <v>181.12381100000007</v>
      </c>
      <c r="K19" s="261">
        <v>199.2361921000001</v>
      </c>
      <c r="L19" s="261">
        <v>219.15981131000012</v>
      </c>
      <c r="M19" s="261">
        <f>L19*(1+$F$20)</f>
        <v>241.07579244100015</v>
      </c>
      <c r="N19" s="261">
        <f t="shared" ref="N19:O19" si="12">M19*(1+$F$20)</f>
        <v>265.18337168510016</v>
      </c>
      <c r="O19" s="261">
        <f t="shared" si="12"/>
        <v>291.70170885361017</v>
      </c>
    </row>
    <row r="20" spans="1:15" x14ac:dyDescent="0.25">
      <c r="A20" s="227"/>
      <c r="B20" s="228"/>
      <c r="C20" s="229" t="s">
        <v>251</v>
      </c>
      <c r="D20" s="230"/>
      <c r="E20" s="238"/>
      <c r="F20" s="235">
        <f>(L19/F19)^(1/6)-1</f>
        <v>0.10000000000000009</v>
      </c>
      <c r="G20" s="236"/>
      <c r="H20" s="236"/>
      <c r="I20" s="236"/>
      <c r="J20" s="236"/>
      <c r="K20" s="236"/>
      <c r="L20" s="245"/>
      <c r="M20" s="235">
        <f>F20</f>
        <v>0.10000000000000009</v>
      </c>
      <c r="N20" s="236"/>
      <c r="O20" s="236"/>
    </row>
    <row r="21" spans="1:15" ht="15" thickBot="1" x14ac:dyDescent="0.3">
      <c r="A21" s="227"/>
      <c r="B21" s="228"/>
      <c r="C21" s="229" t="s">
        <v>252</v>
      </c>
      <c r="D21" s="230"/>
      <c r="E21" s="262">
        <f t="shared" ref="E21:F21" si="13">E16/E19</f>
        <v>46.856896505267706</v>
      </c>
      <c r="F21" s="262">
        <f t="shared" si="13"/>
        <v>46.810039608762445</v>
      </c>
      <c r="G21" s="262">
        <f>G16/G19</f>
        <v>47.765668976565422</v>
      </c>
      <c r="H21" s="262">
        <f t="shared" ref="H21:O21" si="14">H16/H19</f>
        <v>49.024945704129415</v>
      </c>
      <c r="I21" s="262">
        <f t="shared" si="14"/>
        <v>50.317421545420089</v>
      </c>
      <c r="J21" s="262">
        <f t="shared" si="14"/>
        <v>51.643971749799341</v>
      </c>
      <c r="K21" s="262">
        <f t="shared" si="14"/>
        <v>53.005494641384956</v>
      </c>
      <c r="L21" s="262">
        <f t="shared" si="14"/>
        <v>54.402912227385102</v>
      </c>
      <c r="M21" s="262">
        <f t="shared" si="14"/>
        <v>55.837170822470704</v>
      </c>
      <c r="N21" s="262">
        <f t="shared" si="14"/>
        <v>57.309241689608569</v>
      </c>
      <c r="O21" s="262">
        <f t="shared" si="14"/>
        <v>58.820121697789162</v>
      </c>
    </row>
    <row r="22" spans="1:15" ht="43.5" thickBot="1" x14ac:dyDescent="0.3">
      <c r="A22" s="263">
        <v>5</v>
      </c>
      <c r="B22" s="264" t="s">
        <v>258</v>
      </c>
      <c r="C22" s="265" t="s">
        <v>5</v>
      </c>
      <c r="D22" s="266" t="s">
        <v>259</v>
      </c>
      <c r="E22" s="267">
        <f>(E4+E9)/2</f>
        <v>2167.19201355</v>
      </c>
      <c r="F22" s="267">
        <f t="shared" ref="F22:O22" si="15">(F4+F9)/2</f>
        <v>2651.5735</v>
      </c>
      <c r="G22" s="267">
        <f t="shared" si="15"/>
        <v>3004.05</v>
      </c>
      <c r="H22" s="267">
        <f t="shared" si="15"/>
        <v>3269.1765</v>
      </c>
      <c r="I22" s="267">
        <f t="shared" si="15"/>
        <v>3547.6980135499998</v>
      </c>
      <c r="J22" s="267">
        <f t="shared" si="15"/>
        <v>3932.2069586499852</v>
      </c>
      <c r="K22" s="267">
        <f t="shared" si="15"/>
        <v>4253.9052439725383</v>
      </c>
      <c r="L22" s="267">
        <f t="shared" si="15"/>
        <v>4628.7774594802977</v>
      </c>
      <c r="M22" s="267">
        <f t="shared" si="15"/>
        <v>5051.7564125746876</v>
      </c>
      <c r="N22" s="267">
        <f t="shared" si="15"/>
        <v>5515.1814804876722</v>
      </c>
      <c r="O22" s="267">
        <f t="shared" si="15"/>
        <v>6023.0752121391142</v>
      </c>
    </row>
    <row r="23" spans="1:15" ht="15" thickBot="1" x14ac:dyDescent="0.3">
      <c r="A23" s="268">
        <v>6</v>
      </c>
      <c r="B23" s="269" t="s">
        <v>260</v>
      </c>
      <c r="C23" s="270" t="s">
        <v>5</v>
      </c>
      <c r="D23" s="271" t="str">
        <f t="shared" ref="D23:O23" si="16">D14</f>
        <v>Grand View Research</v>
      </c>
      <c r="E23" s="267">
        <f t="shared" si="16"/>
        <v>3081.3256269227186</v>
      </c>
      <c r="F23" s="267">
        <f t="shared" si="16"/>
        <v>4086.4236661384048</v>
      </c>
      <c r="G23" s="267">
        <f t="shared" si="16"/>
        <v>4660</v>
      </c>
      <c r="H23" s="267">
        <f t="shared" si="16"/>
        <v>5180</v>
      </c>
      <c r="I23" s="267">
        <f t="shared" si="16"/>
        <v>5744.62</v>
      </c>
      <c r="J23" s="267">
        <f t="shared" si="16"/>
        <v>6370.7835799999993</v>
      </c>
      <c r="K23" s="267">
        <f t="shared" si="16"/>
        <v>7065.1989902199994</v>
      </c>
      <c r="L23" s="267">
        <f t="shared" si="16"/>
        <v>7835.3056801539788</v>
      </c>
      <c r="M23" s="267">
        <f t="shared" si="16"/>
        <v>8689.3539992907627</v>
      </c>
      <c r="N23" s="267">
        <f t="shared" si="16"/>
        <v>9636.4935852134549</v>
      </c>
      <c r="O23" s="267">
        <f t="shared" si="16"/>
        <v>10686.871386001721</v>
      </c>
    </row>
    <row r="24" spans="1:15" ht="29.25" thickBot="1" x14ac:dyDescent="0.3">
      <c r="A24" s="272">
        <v>7</v>
      </c>
      <c r="B24" s="273" t="s">
        <v>261</v>
      </c>
      <c r="C24" s="274" t="s">
        <v>5</v>
      </c>
      <c r="D24" s="275" t="str">
        <f t="shared" ref="D24:O24" si="17">D16</f>
        <v>MarketsandMarkets</v>
      </c>
      <c r="E24" s="276">
        <f t="shared" si="17"/>
        <v>5217.0000000000009</v>
      </c>
      <c r="F24" s="276">
        <f t="shared" si="17"/>
        <v>5790.8700000000017</v>
      </c>
      <c r="G24" s="276">
        <f t="shared" si="17"/>
        <v>6500</v>
      </c>
      <c r="H24" s="276">
        <f t="shared" si="17"/>
        <v>7338.5</v>
      </c>
      <c r="I24" s="276">
        <f t="shared" si="17"/>
        <v>8285.1664999999994</v>
      </c>
      <c r="J24" s="276">
        <f t="shared" si="17"/>
        <v>9353.9529784999995</v>
      </c>
      <c r="K24" s="276">
        <f t="shared" si="17"/>
        <v>10560.612912726499</v>
      </c>
      <c r="L24" s="276">
        <f t="shared" si="17"/>
        <v>11922.931978468217</v>
      </c>
      <c r="M24" s="276">
        <f t="shared" si="17"/>
        <v>13460.990203690617</v>
      </c>
      <c r="N24" s="276">
        <f t="shared" si="17"/>
        <v>15197.457939966707</v>
      </c>
      <c r="O24" s="276">
        <f t="shared" si="17"/>
        <v>17157.930014222413</v>
      </c>
    </row>
    <row r="25" spans="1:15" x14ac:dyDescent="0.25">
      <c r="A25" s="277">
        <v>8</v>
      </c>
      <c r="B25" s="278" t="s">
        <v>262</v>
      </c>
      <c r="C25" s="252" t="s">
        <v>263</v>
      </c>
      <c r="D25" s="279" t="s">
        <v>264</v>
      </c>
      <c r="E25" s="226">
        <v>1481.921129164368</v>
      </c>
      <c r="F25" s="226">
        <v>1537.4953501630002</v>
      </c>
      <c r="G25" s="226">
        <v>2103.1699999999996</v>
      </c>
      <c r="H25" s="226">
        <v>2887.5</v>
      </c>
      <c r="I25" s="226">
        <v>2997.2</v>
      </c>
      <c r="J25" s="226">
        <v>3120.7</v>
      </c>
      <c r="K25" s="226">
        <v>3227.8</v>
      </c>
      <c r="L25" s="226">
        <v>3350.5</v>
      </c>
      <c r="M25" s="226">
        <v>3454.5</v>
      </c>
      <c r="N25" s="226">
        <v>3586.1</v>
      </c>
      <c r="O25" s="280">
        <v>3698.1</v>
      </c>
    </row>
    <row r="26" spans="1:15" ht="15" thickBot="1" x14ac:dyDescent="0.3">
      <c r="A26" s="281"/>
      <c r="B26" s="282"/>
      <c r="C26" s="283" t="s">
        <v>265</v>
      </c>
      <c r="D26" s="284"/>
      <c r="E26" s="256"/>
      <c r="F26" s="256"/>
      <c r="G26" s="256">
        <v>581.29999999999995</v>
      </c>
      <c r="H26" s="256"/>
      <c r="I26" s="256"/>
      <c r="J26" s="256"/>
      <c r="K26" s="256"/>
      <c r="L26" s="256"/>
      <c r="M26" s="256"/>
      <c r="N26" s="256"/>
      <c r="O26" s="285"/>
    </row>
    <row r="27" spans="1:15" ht="42.75" x14ac:dyDescent="0.25">
      <c r="A27" s="286">
        <v>9</v>
      </c>
      <c r="B27" s="287" t="s">
        <v>266</v>
      </c>
      <c r="C27" s="288" t="s">
        <v>263</v>
      </c>
      <c r="D27" s="289" t="s">
        <v>267</v>
      </c>
      <c r="E27" s="226">
        <f t="shared" ref="E27:L27" si="18">E25</f>
        <v>1481.921129164368</v>
      </c>
      <c r="F27" s="226">
        <f t="shared" si="18"/>
        <v>1537.4953501630002</v>
      </c>
      <c r="G27" s="226">
        <f t="shared" si="18"/>
        <v>2103.1699999999996</v>
      </c>
      <c r="H27" s="226">
        <f t="shared" si="18"/>
        <v>2887.5</v>
      </c>
      <c r="I27" s="226">
        <f t="shared" si="18"/>
        <v>2997.2</v>
      </c>
      <c r="J27" s="226">
        <f t="shared" si="18"/>
        <v>3120.7</v>
      </c>
      <c r="K27" s="226">
        <f t="shared" si="18"/>
        <v>3227.8</v>
      </c>
      <c r="L27" s="226">
        <f t="shared" si="18"/>
        <v>3350.5</v>
      </c>
      <c r="M27" s="226">
        <f>M25+M28</f>
        <v>5818.5</v>
      </c>
      <c r="N27" s="226">
        <f>N25+N28</f>
        <v>8483.1</v>
      </c>
      <c r="O27" s="226">
        <f>O25+O28</f>
        <v>8763.1</v>
      </c>
    </row>
    <row r="28" spans="1:15" x14ac:dyDescent="0.25">
      <c r="A28" s="290"/>
      <c r="B28" s="291" t="s">
        <v>268</v>
      </c>
      <c r="C28" s="292" t="s">
        <v>263</v>
      </c>
      <c r="D28" s="293" t="s">
        <v>269</v>
      </c>
      <c r="E28" s="238"/>
      <c r="F28" s="238"/>
      <c r="G28" s="238"/>
      <c r="H28" s="249"/>
      <c r="I28" s="249"/>
      <c r="J28" s="249"/>
      <c r="K28" s="249"/>
      <c r="L28" s="249"/>
      <c r="M28" s="294">
        <v>2364</v>
      </c>
      <c r="N28" s="294">
        <v>4897</v>
      </c>
      <c r="O28" s="295">
        <v>5065</v>
      </c>
    </row>
    <row r="29" spans="1:15" x14ac:dyDescent="0.25">
      <c r="A29" s="290"/>
      <c r="B29" s="291"/>
      <c r="C29" s="292" t="s">
        <v>265</v>
      </c>
      <c r="D29" s="293"/>
      <c r="E29" s="238"/>
      <c r="F29" s="238"/>
      <c r="G29" s="238"/>
      <c r="H29" s="238"/>
      <c r="I29" s="238"/>
      <c r="J29" s="238"/>
      <c r="K29" s="238"/>
      <c r="L29" s="238"/>
      <c r="M29" s="238">
        <v>574.55999999999995</v>
      </c>
      <c r="N29" s="238">
        <v>1149.1199999999999</v>
      </c>
      <c r="O29" s="296">
        <v>1149.1199999999999</v>
      </c>
    </row>
    <row r="30" spans="1:15" ht="15" thickBot="1" x14ac:dyDescent="0.3">
      <c r="A30" s="297"/>
      <c r="B30" s="298"/>
      <c r="C30" s="299" t="s">
        <v>270</v>
      </c>
      <c r="D30" s="284"/>
      <c r="E30" s="256"/>
      <c r="F30" s="256"/>
      <c r="G30" s="256"/>
      <c r="H30" s="256"/>
      <c r="I30" s="256"/>
      <c r="J30" s="256"/>
      <c r="K30" s="256"/>
      <c r="L30" s="256"/>
      <c r="M30" s="256">
        <f>M28/M29</f>
        <v>4.1144527986633257</v>
      </c>
      <c r="N30" s="256">
        <f t="shared" ref="N30:O30" si="19">N28/N29</f>
        <v>4.2615218602060709</v>
      </c>
      <c r="O30" s="285">
        <f t="shared" si="19"/>
        <v>4.4077206906154283</v>
      </c>
    </row>
    <row r="31" spans="1:15" ht="42.75" x14ac:dyDescent="0.25">
      <c r="A31" s="277">
        <f>A27+1</f>
        <v>10</v>
      </c>
      <c r="B31" s="300" t="s">
        <v>271</v>
      </c>
      <c r="C31" s="301" t="s">
        <v>263</v>
      </c>
      <c r="D31" s="302" t="s">
        <v>272</v>
      </c>
      <c r="E31" s="276">
        <f>E27</f>
        <v>1481.921129164368</v>
      </c>
      <c r="F31" s="276">
        <f t="shared" ref="F31:L31" si="20">F27</f>
        <v>1537.4953501630002</v>
      </c>
      <c r="G31" s="276">
        <f t="shared" si="20"/>
        <v>2103.1699999999996</v>
      </c>
      <c r="H31" s="276">
        <f t="shared" si="20"/>
        <v>2887.5</v>
      </c>
      <c r="I31" s="276">
        <f t="shared" si="20"/>
        <v>2997.2</v>
      </c>
      <c r="J31" s="276">
        <f t="shared" si="20"/>
        <v>3120.7</v>
      </c>
      <c r="K31" s="276">
        <f t="shared" si="20"/>
        <v>3227.8</v>
      </c>
      <c r="L31" s="276">
        <f t="shared" si="20"/>
        <v>3350.5</v>
      </c>
      <c r="M31" s="276">
        <f>M27</f>
        <v>5818.5</v>
      </c>
      <c r="N31" s="276">
        <f>N27</f>
        <v>8483.1</v>
      </c>
      <c r="O31" s="303">
        <f>O27+O33</f>
        <v>39617.144834307997</v>
      </c>
    </row>
    <row r="32" spans="1:15" x14ac:dyDescent="0.25">
      <c r="A32" s="304"/>
      <c r="B32" s="305" t="s">
        <v>273</v>
      </c>
      <c r="C32" s="306" t="s">
        <v>265</v>
      </c>
      <c r="D32" s="307" t="s">
        <v>265</v>
      </c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8">
        <f>10000*0.7</f>
        <v>7000</v>
      </c>
    </row>
    <row r="33" spans="1:15" ht="15" thickBot="1" x14ac:dyDescent="0.3">
      <c r="A33" s="281"/>
      <c r="B33" s="309"/>
      <c r="C33" s="310" t="s">
        <v>263</v>
      </c>
      <c r="D33" s="311" t="s">
        <v>263</v>
      </c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285">
        <f>O32*O30</f>
        <v>30854.044834307999</v>
      </c>
    </row>
  </sheetData>
  <mergeCells count="29">
    <mergeCell ref="A31:A33"/>
    <mergeCell ref="B32:B33"/>
    <mergeCell ref="M20:O20"/>
    <mergeCell ref="A25:A26"/>
    <mergeCell ref="B25:B26"/>
    <mergeCell ref="D25:D26"/>
    <mergeCell ref="A27:A30"/>
    <mergeCell ref="B28:B30"/>
    <mergeCell ref="D28:D30"/>
    <mergeCell ref="N10:O10"/>
    <mergeCell ref="H12:L12"/>
    <mergeCell ref="M12:O12"/>
    <mergeCell ref="A14:A15"/>
    <mergeCell ref="I15:O15"/>
    <mergeCell ref="A16:A21"/>
    <mergeCell ref="D16:D21"/>
    <mergeCell ref="E17:G17"/>
    <mergeCell ref="H17:O17"/>
    <mergeCell ref="F20:L20"/>
    <mergeCell ref="A4:A8"/>
    <mergeCell ref="B4:B21"/>
    <mergeCell ref="D4:D8"/>
    <mergeCell ref="H5:L5"/>
    <mergeCell ref="M5:O5"/>
    <mergeCell ref="H7:L7"/>
    <mergeCell ref="M7:O7"/>
    <mergeCell ref="A9:A13"/>
    <mergeCell ref="D9:D13"/>
    <mergeCell ref="G10:M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277A-3F52-47DB-8024-21AE559B5A0B}">
  <sheetPr>
    <tabColor rgb="FF00B0F0"/>
  </sheetPr>
  <dimension ref="A4:S33"/>
  <sheetViews>
    <sheetView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24" sqref="S24"/>
    </sheetView>
  </sheetViews>
  <sheetFormatPr defaultColWidth="8.85546875" defaultRowHeight="15" outlineLevelRow="1" x14ac:dyDescent="0.25"/>
  <cols>
    <col min="1" max="1" width="8.85546875" style="4"/>
    <col min="2" max="2" width="40" style="4" customWidth="1"/>
    <col min="3" max="3" width="17.28515625" style="4" customWidth="1"/>
    <col min="4" max="15" width="10.7109375" style="4" customWidth="1"/>
    <col min="16" max="19" width="10.7109375" style="89" customWidth="1"/>
    <col min="20" max="16384" width="8.85546875" style="4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O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>O4+1</f>
        <v>2027</v>
      </c>
      <c r="Q4" s="5">
        <f>P4+1</f>
        <v>2028</v>
      </c>
      <c r="R4" s="5">
        <f>Q4+1</f>
        <v>2029</v>
      </c>
      <c r="S4" s="5">
        <f>R4+1</f>
        <v>2030</v>
      </c>
    </row>
    <row r="5" spans="1:19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5.15" customHeight="1" x14ac:dyDescent="0.25">
      <c r="A6" s="196" t="s">
        <v>23</v>
      </c>
      <c r="B6" s="196"/>
    </row>
    <row r="7" spans="1:19" ht="25.15" customHeight="1" outlineLevel="1" x14ac:dyDescent="0.25">
      <c r="A7" s="3" t="s">
        <v>6</v>
      </c>
      <c r="B7" s="2" t="s">
        <v>4</v>
      </c>
      <c r="C7" s="4" t="s">
        <v>5</v>
      </c>
      <c r="D7" s="7">
        <f>'Рынок УВ Lucinel'!D6</f>
        <v>2236.1</v>
      </c>
      <c r="E7" s="7">
        <f>'Рынок УВ Lucinel'!E6</f>
        <v>2284.6</v>
      </c>
      <c r="F7" s="7">
        <f>'Рынок УВ Lucinel'!F6</f>
        <v>2358.1</v>
      </c>
      <c r="G7" s="7">
        <f>'Рынок УВ Lucinel'!G6</f>
        <v>2491.6</v>
      </c>
      <c r="H7" s="7">
        <f>'Рынок УВ Lucinel'!H6</f>
        <v>2674.8</v>
      </c>
      <c r="I7" s="7">
        <f>'Рынок УВ Lucinel'!I6</f>
        <v>2127.9</v>
      </c>
      <c r="J7" s="7">
        <f>'Рынок УВ Lucinel'!J6</f>
        <v>2822</v>
      </c>
      <c r="K7" s="7">
        <f>'Рынок УВ Lucinel'!K6</f>
        <v>3218.1</v>
      </c>
      <c r="L7" s="7">
        <f>'Рынок УВ Lucinel'!L6</f>
        <v>3439.5</v>
      </c>
      <c r="M7" s="7">
        <f>'Рынок УВ Lucinel'!M6</f>
        <v>3653.5</v>
      </c>
      <c r="N7" s="7">
        <f>'Рынок УВ Lucinel'!N6</f>
        <v>4041.5</v>
      </c>
      <c r="O7" s="7">
        <f>'Рынок УВ Lucinel'!O6</f>
        <v>4261.7</v>
      </c>
      <c r="P7" s="7">
        <f>'Рынок УВ Lucinel'!P6</f>
        <v>4541.3999999999996</v>
      </c>
      <c r="Q7" s="7">
        <f>P7*(1+$K$8)</f>
        <v>4865.2795566598406</v>
      </c>
      <c r="R7" s="7">
        <f t="shared" ref="R7:S7" si="1">Q7*(1+$K$8)</f>
        <v>5212.2572696640191</v>
      </c>
      <c r="S7" s="7">
        <f t="shared" si="1"/>
        <v>5583.9804329387389</v>
      </c>
    </row>
    <row r="8" spans="1:19" ht="25.15" customHeight="1" outlineLevel="1" x14ac:dyDescent="0.25">
      <c r="A8" s="3" t="s">
        <v>24</v>
      </c>
      <c r="B8" s="2" t="s">
        <v>19</v>
      </c>
      <c r="C8" s="4" t="s">
        <v>7</v>
      </c>
      <c r="D8" s="191">
        <f>(J7/D7)^(1/6)-1</f>
        <v>3.9547403410938209E-2</v>
      </c>
      <c r="E8" s="191"/>
      <c r="F8" s="191"/>
      <c r="G8" s="191"/>
      <c r="H8" s="191"/>
      <c r="I8" s="191"/>
      <c r="J8" s="191"/>
      <c r="K8" s="194">
        <f>(P7/K7)^(1/5)-1</f>
        <v>7.1317117333826729E-2</v>
      </c>
      <c r="L8" s="194"/>
      <c r="M8" s="194"/>
      <c r="N8" s="194"/>
      <c r="O8" s="194"/>
      <c r="P8" s="194"/>
      <c r="Q8" s="90"/>
      <c r="R8" s="90"/>
      <c r="S8" s="90"/>
    </row>
    <row r="9" spans="1:19" s="13" customFormat="1" ht="25.15" customHeight="1" outlineLevel="1" x14ac:dyDescent="0.25">
      <c r="A9" s="14" t="s">
        <v>25</v>
      </c>
      <c r="B9" s="10" t="s">
        <v>4</v>
      </c>
      <c r="C9" s="13" t="s">
        <v>10</v>
      </c>
      <c r="D9" s="12">
        <f>'Рынок УВ Lucinel'!D8</f>
        <v>68.266800000000003</v>
      </c>
      <c r="E9" s="12">
        <f>'Рынок УВ Lucinel'!E8</f>
        <v>72.167760000000001</v>
      </c>
      <c r="F9" s="12">
        <f>'Рынок УВ Lucinel'!F8</f>
        <v>74.934719999999999</v>
      </c>
      <c r="G9" s="12">
        <f>'Рынок УВ Lucinel'!G8</f>
        <v>80.241839999999996</v>
      </c>
      <c r="H9" s="12">
        <f>'Рынок УВ Lucinel'!H8</f>
        <v>87.091200000000001</v>
      </c>
      <c r="I9" s="12">
        <f>'Рынок УВ Lucinel'!I8</f>
        <v>78.654240000000001</v>
      </c>
      <c r="J9" s="12">
        <f>'Рынок УВ Lucinel'!J8</f>
        <v>79.652159999999995</v>
      </c>
      <c r="K9" s="12">
        <f>'Рынок УВ Lucinel'!K8</f>
        <v>87.680880000000002</v>
      </c>
      <c r="L9" s="12">
        <f>'Рынок УВ Lucinel'!L8</f>
        <v>93.804480000000012</v>
      </c>
      <c r="M9" s="12">
        <f>'Рынок УВ Lucinel'!M8</f>
        <v>99.247680000000003</v>
      </c>
      <c r="N9" s="12">
        <f>'Рынок УВ Lucinel'!N8</f>
        <v>110.4516</v>
      </c>
      <c r="O9" s="12">
        <f>'Рынок УВ Lucinel'!O8</f>
        <v>116.07624</v>
      </c>
      <c r="P9" s="12">
        <f>'Рынок УВ Lucinel'!P8</f>
        <v>124.19568000000001</v>
      </c>
      <c r="Q9" s="12">
        <f>P9*(1+$K$10)</f>
        <v>133.15172821217735</v>
      </c>
      <c r="R9" s="12">
        <f t="shared" ref="R9:S9" si="2">Q9*(1+$K$10)</f>
        <v>142.7536185307697</v>
      </c>
      <c r="S9" s="12">
        <f t="shared" si="2"/>
        <v>153.04792417831192</v>
      </c>
    </row>
    <row r="10" spans="1:19" ht="25.15" customHeight="1" outlineLevel="1" x14ac:dyDescent="0.25">
      <c r="A10" s="3" t="s">
        <v>26</v>
      </c>
      <c r="B10" s="2" t="s">
        <v>16</v>
      </c>
      <c r="C10" s="4" t="s">
        <v>7</v>
      </c>
      <c r="D10" s="191">
        <f>(J9/D9)^(1/6)-1</f>
        <v>2.6040889739804784E-2</v>
      </c>
      <c r="E10" s="191"/>
      <c r="F10" s="191"/>
      <c r="G10" s="191"/>
      <c r="H10" s="191"/>
      <c r="I10" s="191"/>
      <c r="J10" s="191"/>
      <c r="K10" s="194">
        <f>(P9/K9)^(1/5)-1</f>
        <v>7.2112397244230575E-2</v>
      </c>
      <c r="L10" s="194"/>
      <c r="M10" s="194"/>
      <c r="N10" s="194"/>
      <c r="O10" s="194"/>
      <c r="P10" s="194"/>
      <c r="Q10" s="90"/>
      <c r="R10" s="90"/>
      <c r="S10" s="90"/>
    </row>
    <row r="11" spans="1:19" s="13" customFormat="1" ht="25.15" customHeight="1" outlineLevel="1" x14ac:dyDescent="0.25">
      <c r="A11" s="14" t="s">
        <v>27</v>
      </c>
      <c r="B11" s="10" t="s">
        <v>20</v>
      </c>
      <c r="C11" s="13" t="s">
        <v>21</v>
      </c>
      <c r="D11" s="12">
        <f>D7/D9</f>
        <v>32.755307118540784</v>
      </c>
      <c r="E11" s="12">
        <f t="shared" ref="E11:S11" si="3">E7/E9</f>
        <v>31.656795222686693</v>
      </c>
      <c r="F11" s="12">
        <f t="shared" si="3"/>
        <v>31.468723710450909</v>
      </c>
      <c r="G11" s="12">
        <f t="shared" si="3"/>
        <v>31.051132426674165</v>
      </c>
      <c r="H11" s="12">
        <f t="shared" si="3"/>
        <v>30.712632275132275</v>
      </c>
      <c r="I11" s="12">
        <f t="shared" si="3"/>
        <v>27.053849862385043</v>
      </c>
      <c r="J11" s="12">
        <f t="shared" si="3"/>
        <v>35.429045489789608</v>
      </c>
      <c r="K11" s="12">
        <f t="shared" si="3"/>
        <v>36.70241448306632</v>
      </c>
      <c r="L11" s="12">
        <f t="shared" si="3"/>
        <v>36.666692251798629</v>
      </c>
      <c r="M11" s="12">
        <f t="shared" si="3"/>
        <v>36.811943614198334</v>
      </c>
      <c r="N11" s="12">
        <f t="shared" si="3"/>
        <v>36.590687685828001</v>
      </c>
      <c r="O11" s="12">
        <f t="shared" si="3"/>
        <v>36.714662707889225</v>
      </c>
      <c r="P11" s="12">
        <f t="shared" si="3"/>
        <v>36.566489269191969</v>
      </c>
      <c r="Q11" s="12">
        <f t="shared" si="3"/>
        <v>36.53936469308919</v>
      </c>
      <c r="R11" s="12">
        <f t="shared" si="3"/>
        <v>36.512260237666396</v>
      </c>
      <c r="S11" s="12">
        <f t="shared" si="3"/>
        <v>36.485175887998309</v>
      </c>
    </row>
    <row r="12" spans="1:19" s="13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13" customFormat="1" ht="25.15" customHeight="1" x14ac:dyDescent="0.25">
      <c r="A13" s="197" t="s">
        <v>63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13" customFormat="1" ht="25.15" customHeight="1" outlineLevel="1" x14ac:dyDescent="0.25">
      <c r="A14" s="14" t="s">
        <v>9</v>
      </c>
      <c r="B14" s="10" t="s">
        <v>4</v>
      </c>
      <c r="C14" s="4" t="s">
        <v>5</v>
      </c>
      <c r="D14" s="13">
        <v>782.2</v>
      </c>
      <c r="E14" s="13">
        <v>805.7</v>
      </c>
      <c r="F14" s="13">
        <v>826.6</v>
      </c>
      <c r="G14" s="13">
        <v>884.5</v>
      </c>
      <c r="H14" s="13">
        <v>959.3</v>
      </c>
      <c r="I14" s="13">
        <v>819.1</v>
      </c>
      <c r="J14" s="13">
        <v>942.8</v>
      </c>
      <c r="K14" s="13">
        <v>1127.5999999999999</v>
      </c>
      <c r="L14" s="13">
        <v>1223</v>
      </c>
      <c r="M14" s="13">
        <v>1362.1</v>
      </c>
      <c r="N14" s="13">
        <v>1585.5</v>
      </c>
      <c r="O14" s="13">
        <v>1629.4</v>
      </c>
      <c r="P14" s="91">
        <v>1786.6</v>
      </c>
      <c r="Q14" s="91">
        <f>P14*(1+$K$15)</f>
        <v>1958.8527117138749</v>
      </c>
      <c r="R14" s="188">
        <f t="shared" ref="R14:S14" si="4">Q14*(1+$K$15)</f>
        <v>2147.7129442453829</v>
      </c>
      <c r="S14" s="188">
        <f t="shared" si="4"/>
        <v>2354.7818900806328</v>
      </c>
    </row>
    <row r="15" spans="1:19" ht="25.15" customHeight="1" outlineLevel="1" x14ac:dyDescent="0.25">
      <c r="A15" s="3" t="s">
        <v>29</v>
      </c>
      <c r="B15" s="2" t="s">
        <v>19</v>
      </c>
      <c r="C15" s="4" t="s">
        <v>7</v>
      </c>
      <c r="D15" s="191">
        <f>(J14/D14)^(1/6)-1</f>
        <v>3.1613365941536964E-2</v>
      </c>
      <c r="E15" s="191"/>
      <c r="F15" s="191"/>
      <c r="G15" s="191"/>
      <c r="H15" s="191"/>
      <c r="I15" s="191"/>
      <c r="J15" s="191"/>
      <c r="K15" s="194">
        <f>(P14/K14)^(1/5)-1</f>
        <v>9.6413697365876461E-2</v>
      </c>
      <c r="L15" s="194"/>
      <c r="M15" s="194"/>
      <c r="N15" s="194"/>
      <c r="O15" s="194"/>
      <c r="P15" s="194"/>
      <c r="Q15" s="90"/>
      <c r="R15" s="90"/>
      <c r="S15" s="90"/>
    </row>
    <row r="16" spans="1:19" s="13" customFormat="1" ht="25.15" customHeight="1" outlineLevel="1" x14ac:dyDescent="0.25">
      <c r="A16" s="14" t="s">
        <v>30</v>
      </c>
      <c r="B16" s="10" t="s">
        <v>4</v>
      </c>
      <c r="C16" s="4" t="s">
        <v>10</v>
      </c>
      <c r="D16" s="12">
        <f>58.7*B33</f>
        <v>26.62632</v>
      </c>
      <c r="E16" s="12">
        <f>62.4*B33</f>
        <v>28.304639999999999</v>
      </c>
      <c r="F16" s="12">
        <f>66.1*B33</f>
        <v>29.982959999999999</v>
      </c>
      <c r="G16" s="12">
        <f>71.7*B33</f>
        <v>32.523119999999999</v>
      </c>
      <c r="H16" s="12">
        <f>79.4*B33</f>
        <v>36.015840000000004</v>
      </c>
      <c r="I16" s="12">
        <f>76*B33</f>
        <v>34.473599999999998</v>
      </c>
      <c r="J16" s="12">
        <f>75.8*B33</f>
        <v>34.38288</v>
      </c>
      <c r="K16" s="12">
        <f>82.6*B33</f>
        <v>37.467359999999999</v>
      </c>
      <c r="L16" s="12">
        <f>91*B33</f>
        <v>41.2776</v>
      </c>
      <c r="M16" s="12">
        <f>98.8*B33</f>
        <v>44.81568</v>
      </c>
      <c r="N16" s="12">
        <f>115.6*B33</f>
        <v>52.436160000000001</v>
      </c>
      <c r="O16" s="12">
        <f>119.3*B33</f>
        <v>54.11448</v>
      </c>
      <c r="P16" s="12">
        <f>131.5*B33</f>
        <v>59.648400000000002</v>
      </c>
      <c r="Q16" s="12">
        <f>P16*(1+$K$17)</f>
        <v>65.461799532857938</v>
      </c>
      <c r="R16" s="12">
        <f t="shared" ref="R16:S16" si="5">Q16*(1+$K$17)</f>
        <v>71.841779462317177</v>
      </c>
      <c r="S16" s="12">
        <f t="shared" si="5"/>
        <v>78.843559345196141</v>
      </c>
    </row>
    <row r="17" spans="1:19" s="13" customFormat="1" ht="25.15" customHeight="1" outlineLevel="1" x14ac:dyDescent="0.25">
      <c r="A17" s="14" t="s">
        <v>31</v>
      </c>
      <c r="B17" s="2" t="s">
        <v>17</v>
      </c>
      <c r="C17" s="4" t="s">
        <v>7</v>
      </c>
      <c r="D17" s="191">
        <f>(J16/D16)^(1/56)-1</f>
        <v>4.5757685351464072E-3</v>
      </c>
      <c r="E17" s="191"/>
      <c r="F17" s="191"/>
      <c r="G17" s="191"/>
      <c r="H17" s="191"/>
      <c r="I17" s="191"/>
      <c r="J17" s="191"/>
      <c r="K17" s="194">
        <f>(P16/K16)^(1/5)-1</f>
        <v>9.7461114344356892E-2</v>
      </c>
      <c r="L17" s="194"/>
      <c r="M17" s="194"/>
      <c r="N17" s="194"/>
      <c r="O17" s="194"/>
      <c r="P17" s="194"/>
      <c r="Q17" s="90"/>
      <c r="R17" s="90"/>
      <c r="S17" s="90"/>
    </row>
    <row r="18" spans="1:19" s="13" customFormat="1" ht="25.15" customHeight="1" x14ac:dyDescent="0.25">
      <c r="A18" s="14"/>
      <c r="B18" s="2"/>
      <c r="C18" s="4"/>
      <c r="D18" s="11"/>
      <c r="E18" s="11"/>
      <c r="F18" s="11"/>
      <c r="G18" s="11"/>
      <c r="H18" s="11"/>
      <c r="I18" s="11"/>
      <c r="J18" s="11">
        <f>J16/J9</f>
        <v>0.43166287015945332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3" customFormat="1" ht="25.15" customHeight="1" x14ac:dyDescent="0.25">
      <c r="A19" s="197" t="s">
        <v>64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13" customFormat="1" ht="25.15" customHeight="1" outlineLevel="1" x14ac:dyDescent="0.25">
      <c r="A20" s="14" t="s">
        <v>12</v>
      </c>
      <c r="B20" s="10" t="s">
        <v>4</v>
      </c>
      <c r="C20" s="4" t="s">
        <v>5</v>
      </c>
      <c r="D20" s="13">
        <v>756.2</v>
      </c>
      <c r="E20" s="13">
        <v>775.1</v>
      </c>
      <c r="F20" s="13">
        <v>797.6</v>
      </c>
      <c r="G20" s="13">
        <v>845.5</v>
      </c>
      <c r="H20" s="13">
        <v>900.4</v>
      </c>
      <c r="I20" s="13">
        <v>666.9</v>
      </c>
      <c r="J20" s="13">
        <v>949.9</v>
      </c>
      <c r="K20" s="13">
        <v>1105.0999999999999</v>
      </c>
      <c r="L20" s="13">
        <v>1178.2</v>
      </c>
      <c r="M20" s="13">
        <v>1194.5</v>
      </c>
      <c r="N20" s="13">
        <v>1296.3</v>
      </c>
      <c r="O20" s="13">
        <v>1447</v>
      </c>
      <c r="P20" s="91">
        <v>1526.5</v>
      </c>
      <c r="Q20" s="91">
        <f>P20*(1+$K$21)</f>
        <v>1628.380355853451</v>
      </c>
      <c r="R20" s="188">
        <f t="shared" ref="R20:S20" si="6">Q20*(1+$K$21)</f>
        <v>1737.0603231768173</v>
      </c>
      <c r="S20" s="188">
        <f t="shared" si="6"/>
        <v>1852.9937158162961</v>
      </c>
    </row>
    <row r="21" spans="1:19" ht="25.15" customHeight="1" outlineLevel="1" x14ac:dyDescent="0.25">
      <c r="A21" s="3" t="s">
        <v>33</v>
      </c>
      <c r="B21" s="2" t="s">
        <v>19</v>
      </c>
      <c r="C21" s="4" t="s">
        <v>7</v>
      </c>
      <c r="D21" s="191">
        <f>(J20/D20)^(1/6)-1</f>
        <v>3.8740031737847236E-2</v>
      </c>
      <c r="E21" s="191"/>
      <c r="F21" s="191"/>
      <c r="G21" s="191"/>
      <c r="H21" s="191"/>
      <c r="I21" s="191"/>
      <c r="J21" s="191"/>
      <c r="K21" s="194">
        <f>(P20/K20)^(1/5)-1</f>
        <v>6.6741143696987137E-2</v>
      </c>
      <c r="L21" s="194"/>
      <c r="M21" s="194"/>
      <c r="N21" s="194"/>
      <c r="O21" s="194"/>
      <c r="P21" s="194"/>
      <c r="Q21" s="90"/>
      <c r="R21" s="90"/>
      <c r="S21" s="90"/>
    </row>
    <row r="22" spans="1:19" ht="25.15" customHeight="1" outlineLevel="1" x14ac:dyDescent="0.25">
      <c r="A22" s="3" t="s">
        <v>34</v>
      </c>
      <c r="B22" s="10" t="s">
        <v>4</v>
      </c>
      <c r="C22" s="4" t="s">
        <v>10</v>
      </c>
      <c r="D22" s="12">
        <f>50.6*B33</f>
        <v>22.952159999999999</v>
      </c>
      <c r="E22" s="12">
        <f>53.9*B33</f>
        <v>24.44904</v>
      </c>
      <c r="F22" s="12">
        <f>55.1*B33</f>
        <v>24.993359999999999</v>
      </c>
      <c r="G22" s="12">
        <f>57.5*B33</f>
        <v>26.082000000000001</v>
      </c>
      <c r="H22" s="12">
        <f>60.9*B33</f>
        <v>27.62424</v>
      </c>
      <c r="I22" s="12">
        <f>51.2*B33</f>
        <v>23.224320000000002</v>
      </c>
      <c r="J22" s="12">
        <f>52.1*B33</f>
        <v>23.632560000000002</v>
      </c>
      <c r="K22" s="12">
        <f>60.3*B33</f>
        <v>27.352079999999997</v>
      </c>
      <c r="L22" s="12">
        <f>63.9*B33</f>
        <v>28.985039999999998</v>
      </c>
      <c r="M22" s="12">
        <f>64.4*B33</f>
        <v>29.211840000000002</v>
      </c>
      <c r="N22" s="12">
        <f>69.6*B33</f>
        <v>31.570559999999997</v>
      </c>
      <c r="O22" s="12">
        <f>77.3*B33</f>
        <v>35.063279999999999</v>
      </c>
      <c r="P22" s="12">
        <f>81.1*B33</f>
        <v>36.786960000000001</v>
      </c>
      <c r="Q22" s="12">
        <f>P22*(1+$K$23)</f>
        <v>39.033240593946054</v>
      </c>
      <c r="R22" s="12">
        <f t="shared" ref="R22:S22" si="7">Q22*(1+$K$23)</f>
        <v>41.416683283013278</v>
      </c>
      <c r="S22" s="12">
        <f t="shared" si="7"/>
        <v>43.945663441315098</v>
      </c>
    </row>
    <row r="23" spans="1:19" s="13" customFormat="1" ht="25.15" customHeight="1" outlineLevel="1" x14ac:dyDescent="0.25">
      <c r="A23" s="14" t="s">
        <v>35</v>
      </c>
      <c r="B23" s="2" t="s">
        <v>17</v>
      </c>
      <c r="C23" s="4" t="s">
        <v>7</v>
      </c>
      <c r="D23" s="191">
        <f>(J22/D22)^(1/5)-1</f>
        <v>5.8597762061547432E-3</v>
      </c>
      <c r="E23" s="191"/>
      <c r="F23" s="191"/>
      <c r="G23" s="191"/>
      <c r="H23" s="191"/>
      <c r="I23" s="191"/>
      <c r="J23" s="191"/>
      <c r="K23" s="194">
        <f>(P22/K22)^(1/5)-1</f>
        <v>6.1061870672272311E-2</v>
      </c>
      <c r="L23" s="194"/>
      <c r="M23" s="194"/>
      <c r="N23" s="194"/>
      <c r="O23" s="194"/>
      <c r="P23" s="194"/>
      <c r="Q23" s="90"/>
      <c r="R23" s="90"/>
      <c r="S23" s="90"/>
    </row>
    <row r="24" spans="1:19" s="13" customFormat="1" ht="25.15" customHeight="1" x14ac:dyDescent="0.25">
      <c r="A24" s="14"/>
      <c r="B24" s="10"/>
      <c r="D24" s="11"/>
      <c r="E24" s="11"/>
      <c r="F24" s="11"/>
      <c r="G24" s="11"/>
      <c r="H24" s="11"/>
      <c r="I24" s="11"/>
      <c r="J24" s="11">
        <f>J22/J9</f>
        <v>0.29669703872437364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3" customFormat="1" ht="25.15" customHeight="1" x14ac:dyDescent="0.25">
      <c r="A25" s="198" t="s">
        <v>65</v>
      </c>
      <c r="B25" s="19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3" customFormat="1" ht="25.15" customHeight="1" outlineLevel="1" x14ac:dyDescent="0.25">
      <c r="A26" s="14" t="s">
        <v>14</v>
      </c>
      <c r="B26" s="10" t="s">
        <v>4</v>
      </c>
      <c r="C26" s="4" t="s">
        <v>5</v>
      </c>
      <c r="D26" s="12">
        <v>697.7</v>
      </c>
      <c r="E26" s="12">
        <v>703.8</v>
      </c>
      <c r="F26" s="12">
        <v>733.9</v>
      </c>
      <c r="G26" s="12">
        <v>761.7</v>
      </c>
      <c r="H26" s="12">
        <v>815</v>
      </c>
      <c r="I26" s="12">
        <v>641.79999999999995</v>
      </c>
      <c r="J26" s="12">
        <v>929.3</v>
      </c>
      <c r="K26" s="12">
        <v>985.4</v>
      </c>
      <c r="L26" s="12">
        <v>1038.3</v>
      </c>
      <c r="M26" s="12">
        <v>1096.9000000000001</v>
      </c>
      <c r="N26" s="12">
        <v>1159.7</v>
      </c>
      <c r="O26" s="12">
        <v>1185.4000000000001</v>
      </c>
      <c r="P26" s="12">
        <v>1228.3</v>
      </c>
      <c r="Q26" s="12">
        <f>P26*(1+$K$27)</f>
        <v>1283.6387845552933</v>
      </c>
      <c r="R26" s="12">
        <f t="shared" ref="R26:S26" si="8">Q26*(1+$K$27)</f>
        <v>1341.4707556904589</v>
      </c>
      <c r="S26" s="12">
        <f t="shared" si="8"/>
        <v>1401.9082393152905</v>
      </c>
    </row>
    <row r="27" spans="1:19" ht="25.15" customHeight="1" outlineLevel="1" x14ac:dyDescent="0.25">
      <c r="A27" s="3" t="s">
        <v>37</v>
      </c>
      <c r="B27" s="2" t="s">
        <v>19</v>
      </c>
      <c r="C27" s="4" t="s">
        <v>7</v>
      </c>
      <c r="D27" s="191">
        <f>(J26/D26)^(1/6)-1</f>
        <v>4.8933290465012602E-2</v>
      </c>
      <c r="E27" s="191"/>
      <c r="F27" s="191"/>
      <c r="G27" s="191"/>
      <c r="H27" s="191"/>
      <c r="I27" s="191"/>
      <c r="J27" s="191"/>
      <c r="K27" s="194">
        <f>(P26/K26)^(1/5)-1</f>
        <v>4.5053150334033454E-2</v>
      </c>
      <c r="L27" s="194"/>
      <c r="M27" s="194"/>
      <c r="N27" s="194"/>
      <c r="O27" s="194"/>
      <c r="P27" s="194"/>
      <c r="Q27" s="90"/>
      <c r="R27" s="90"/>
      <c r="S27" s="90"/>
    </row>
    <row r="28" spans="1:19" ht="25.15" customHeight="1" outlineLevel="1" x14ac:dyDescent="0.25">
      <c r="A28" s="3" t="s">
        <v>38</v>
      </c>
      <c r="B28" s="10" t="s">
        <v>4</v>
      </c>
      <c r="C28" s="4" t="s">
        <v>10</v>
      </c>
      <c r="D28" s="12">
        <f>41.3*B33</f>
        <v>18.73368</v>
      </c>
      <c r="E28" s="12">
        <f>42.8*B33</f>
        <v>19.414079999999998</v>
      </c>
      <c r="F28" s="12">
        <f>44*B33</f>
        <v>19.958400000000001</v>
      </c>
      <c r="G28" s="12">
        <f>47.8*B33</f>
        <v>21.682079999999999</v>
      </c>
      <c r="H28" s="12">
        <f>51.6*B33</f>
        <v>23.405760000000001</v>
      </c>
      <c r="I28" s="12">
        <f>46.2*B33</f>
        <v>20.956320000000002</v>
      </c>
      <c r="J28" s="12">
        <f>47.8*B33</f>
        <v>21.682079999999999</v>
      </c>
      <c r="K28" s="12">
        <f>50.4*B33</f>
        <v>22.861439999999998</v>
      </c>
      <c r="L28" s="12">
        <f>52.8*B33</f>
        <v>23.95008</v>
      </c>
      <c r="M28" s="12">
        <f>55.5*B33</f>
        <v>25.174800000000001</v>
      </c>
      <c r="N28" s="12">
        <f>58.4*B33</f>
        <v>26.49024</v>
      </c>
      <c r="O28" s="12">
        <f>59.4*B33</f>
        <v>26.943839999999998</v>
      </c>
      <c r="P28" s="12">
        <f>61.3*B33</f>
        <v>27.805679999999999</v>
      </c>
      <c r="Q28" s="12">
        <f>P28*(1+$K$29)</f>
        <v>28.916086019690209</v>
      </c>
      <c r="R28" s="12">
        <f t="shared" ref="R28:S28" si="9">Q28*(1+$K$29)</f>
        <v>30.070835552236936</v>
      </c>
      <c r="S28" s="12">
        <f t="shared" si="9"/>
        <v>31.271699433800638</v>
      </c>
    </row>
    <row r="29" spans="1:19" ht="25.15" customHeight="1" outlineLevel="1" x14ac:dyDescent="0.25">
      <c r="A29" s="14" t="s">
        <v>39</v>
      </c>
      <c r="B29" s="2" t="s">
        <v>17</v>
      </c>
      <c r="C29" s="4" t="s">
        <v>7</v>
      </c>
      <c r="D29" s="191">
        <f>(J28/D28)^(1/5)-1</f>
        <v>2.966409521921376E-2</v>
      </c>
      <c r="E29" s="191"/>
      <c r="F29" s="191"/>
      <c r="G29" s="191"/>
      <c r="H29" s="191"/>
      <c r="I29" s="191"/>
      <c r="J29" s="191"/>
      <c r="K29" s="194">
        <f>(P28/K28)^(1/5)-1</f>
        <v>3.9934503298973745E-2</v>
      </c>
      <c r="L29" s="194"/>
      <c r="M29" s="194"/>
      <c r="N29" s="194"/>
      <c r="O29" s="194"/>
      <c r="P29" s="194"/>
      <c r="Q29" s="90"/>
      <c r="R29" s="90"/>
      <c r="S29" s="90"/>
    </row>
    <row r="30" spans="1:19" ht="25.15" customHeight="1" x14ac:dyDescent="0.25">
      <c r="A30" s="14"/>
      <c r="B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s="13" customFormat="1" x14ac:dyDescent="0.2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x14ac:dyDescent="0.25">
      <c r="J32" s="8"/>
    </row>
    <row r="33" spans="1:2" ht="30" x14ac:dyDescent="0.25">
      <c r="A33" s="4" t="s">
        <v>3</v>
      </c>
      <c r="B33" s="2">
        <v>0.4536</v>
      </c>
    </row>
  </sheetData>
  <mergeCells count="20">
    <mergeCell ref="A25:B25"/>
    <mergeCell ref="K27:P27"/>
    <mergeCell ref="D27:J27"/>
    <mergeCell ref="K29:P29"/>
    <mergeCell ref="D29:J29"/>
    <mergeCell ref="A19:B19"/>
    <mergeCell ref="K21:P21"/>
    <mergeCell ref="D21:J21"/>
    <mergeCell ref="K23:P23"/>
    <mergeCell ref="D23:J23"/>
    <mergeCell ref="A13:B13"/>
    <mergeCell ref="D15:J15"/>
    <mergeCell ref="K17:P17"/>
    <mergeCell ref="D17:J17"/>
    <mergeCell ref="K15:P15"/>
    <mergeCell ref="A6:B6"/>
    <mergeCell ref="K8:P8"/>
    <mergeCell ref="D8:J8"/>
    <mergeCell ref="K10:P10"/>
    <mergeCell ref="D10:J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92FE-CBB5-4B84-9D08-167B2DDF7D7B}">
  <dimension ref="A2:P85"/>
  <sheetViews>
    <sheetView workbookViewId="0">
      <pane xSplit="8" ySplit="4" topLeftCell="I50" activePane="bottomRight" state="frozen"/>
      <selection pane="topRight" activeCell="I1" sqref="I1"/>
      <selection pane="bottomLeft" activeCell="A5" sqref="A5"/>
      <selection pane="bottomRight" activeCell="E87" sqref="E87"/>
    </sheetView>
  </sheetViews>
  <sheetFormatPr defaultColWidth="8.85546875" defaultRowHeight="15" x14ac:dyDescent="0.2"/>
  <cols>
    <col min="1" max="1" width="8.85546875" style="110"/>
    <col min="2" max="2" width="30.42578125" style="110" customWidth="1"/>
    <col min="3" max="3" width="19.5703125" style="110" customWidth="1"/>
    <col min="4" max="4" width="9.7109375" style="110" bestFit="1" customWidth="1"/>
    <col min="5" max="5" width="8.85546875" style="110"/>
    <col min="6" max="6" width="9.140625" style="110" bestFit="1" customWidth="1"/>
    <col min="7" max="10" width="8.85546875" style="110"/>
    <col min="11" max="11" width="9.7109375" style="110" bestFit="1" customWidth="1"/>
    <col min="12" max="12" width="9.140625" style="110" bestFit="1" customWidth="1"/>
    <col min="13" max="15" width="8.85546875" style="110"/>
    <col min="16" max="16" width="60.5703125" style="167" customWidth="1"/>
    <col min="17" max="16384" width="8.85546875" style="110"/>
  </cols>
  <sheetData>
    <row r="2" spans="1:16" ht="25.15" customHeight="1" x14ac:dyDescent="0.2">
      <c r="A2" s="204" t="s">
        <v>226</v>
      </c>
      <c r="B2" s="204"/>
      <c r="C2" s="204"/>
    </row>
    <row r="3" spans="1:16" ht="22.9" customHeight="1" x14ac:dyDescent="0.2">
      <c r="A3" s="205"/>
      <c r="B3" s="205"/>
      <c r="C3" s="205"/>
    </row>
    <row r="4" spans="1:16" ht="40.9" customHeight="1" thickBot="1" x14ac:dyDescent="0.25">
      <c r="A4" s="111" t="s">
        <v>0</v>
      </c>
      <c r="B4" s="111" t="s">
        <v>185</v>
      </c>
      <c r="C4" s="111" t="s">
        <v>2</v>
      </c>
      <c r="D4" s="111">
        <v>2020</v>
      </c>
      <c r="E4" s="111">
        <f t="shared" ref="E4:N4" si="0">D4+1</f>
        <v>2021</v>
      </c>
      <c r="F4" s="111">
        <f t="shared" si="0"/>
        <v>2022</v>
      </c>
      <c r="G4" s="111">
        <f t="shared" si="0"/>
        <v>2023</v>
      </c>
      <c r="H4" s="111">
        <f t="shared" si="0"/>
        <v>2024</v>
      </c>
      <c r="I4" s="111">
        <f t="shared" si="0"/>
        <v>2025</v>
      </c>
      <c r="J4" s="111">
        <f t="shared" si="0"/>
        <v>2026</v>
      </c>
      <c r="K4" s="111">
        <f t="shared" si="0"/>
        <v>2027</v>
      </c>
      <c r="L4" s="111">
        <f t="shared" si="0"/>
        <v>2028</v>
      </c>
      <c r="M4" s="111">
        <f t="shared" si="0"/>
        <v>2029</v>
      </c>
      <c r="N4" s="111">
        <f t="shared" si="0"/>
        <v>2030</v>
      </c>
      <c r="O4" s="24"/>
    </row>
    <row r="5" spans="1:16" ht="15.75" thickTop="1" x14ac:dyDescent="0.2"/>
    <row r="6" spans="1:16" ht="24" customHeight="1" x14ac:dyDescent="0.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6" s="115" customFormat="1" ht="26.45" customHeight="1" x14ac:dyDescent="0.25">
      <c r="A7" s="206" t="s">
        <v>236</v>
      </c>
      <c r="B7" s="206"/>
      <c r="C7" s="113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P7" s="168"/>
    </row>
    <row r="8" spans="1:16" s="120" customFormat="1" ht="30" customHeight="1" x14ac:dyDescent="0.25">
      <c r="A8" s="116" t="s">
        <v>186</v>
      </c>
      <c r="B8" s="117" t="s">
        <v>4</v>
      </c>
      <c r="C8" s="28" t="s">
        <v>10</v>
      </c>
      <c r="D8" s="118">
        <f>'Рынок УВ Lucinel'!I8</f>
        <v>78.654240000000001</v>
      </c>
      <c r="E8" s="118">
        <f>'Рынок УВ Lucinel'!J8</f>
        <v>79.652159999999995</v>
      </c>
      <c r="F8" s="118">
        <f>'Рынок УВ Lucinel'!K8</f>
        <v>87.680880000000002</v>
      </c>
      <c r="G8" s="118">
        <f>'Рынок УВ Lucinel'!L8</f>
        <v>93.804480000000012</v>
      </c>
      <c r="H8" s="118">
        <f>'Рынок УВ Lucinel'!M8</f>
        <v>99.247680000000003</v>
      </c>
      <c r="I8" s="118">
        <f>'Рынок УВ Lucinel'!N8</f>
        <v>110.4516</v>
      </c>
      <c r="J8" s="118">
        <f>'Рынок УВ Lucinel'!O8</f>
        <v>116.07624</v>
      </c>
      <c r="K8" s="118">
        <f>'Рынок УВ Lucinel'!P8</f>
        <v>124.19568000000001</v>
      </c>
      <c r="L8" s="119">
        <f>K8*(1+$L$9)</f>
        <v>133.15172821217735</v>
      </c>
      <c r="M8" s="119">
        <f t="shared" ref="M8:N8" si="1">L8*(1+$L$9)</f>
        <v>142.7536185307697</v>
      </c>
      <c r="N8" s="119">
        <f t="shared" si="1"/>
        <v>153.04792417831192</v>
      </c>
      <c r="P8" s="169"/>
    </row>
    <row r="9" spans="1:16" s="120" customFormat="1" ht="30" customHeight="1" x14ac:dyDescent="0.25">
      <c r="A9" s="116" t="s">
        <v>187</v>
      </c>
      <c r="B9" s="117" t="s">
        <v>188</v>
      </c>
      <c r="C9" s="28" t="s">
        <v>7</v>
      </c>
      <c r="D9" s="117"/>
      <c r="E9" s="117"/>
      <c r="F9" s="199">
        <f>(K8/F8)^(1/5)-1</f>
        <v>7.2112397244230575E-2</v>
      </c>
      <c r="G9" s="199"/>
      <c r="H9" s="199"/>
      <c r="I9" s="199"/>
      <c r="J9" s="199"/>
      <c r="K9" s="199"/>
      <c r="L9" s="200">
        <f>F9</f>
        <v>7.2112397244230575E-2</v>
      </c>
      <c r="M9" s="200"/>
      <c r="N9" s="200"/>
      <c r="P9" s="169"/>
    </row>
    <row r="10" spans="1:16" s="120" customFormat="1" ht="30" customHeight="1" x14ac:dyDescent="0.25">
      <c r="A10" s="28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P10" s="169"/>
    </row>
    <row r="11" spans="1:16" s="122" customFormat="1" ht="30" customHeight="1" x14ac:dyDescent="0.25">
      <c r="A11" s="201" t="s">
        <v>233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P11" s="170"/>
    </row>
    <row r="12" spans="1:16" s="120" customFormat="1" ht="30" customHeight="1" x14ac:dyDescent="0.25">
      <c r="A12" s="116" t="s">
        <v>189</v>
      </c>
      <c r="B12" s="117" t="s">
        <v>4</v>
      </c>
      <c r="C12" s="28" t="s">
        <v>10</v>
      </c>
      <c r="D12" s="123">
        <v>72.5</v>
      </c>
      <c r="E12" s="124">
        <v>92</v>
      </c>
      <c r="F12" s="124">
        <v>101</v>
      </c>
      <c r="G12" s="124">
        <v>111</v>
      </c>
      <c r="H12" s="124">
        <v>122</v>
      </c>
      <c r="I12" s="119">
        <f t="shared" ref="I12:N12" si="2">H12*(1+$D$13)</f>
        <v>134.03467484298307</v>
      </c>
      <c r="J12" s="119">
        <f t="shared" si="2"/>
        <v>147.25650869069014</v>
      </c>
      <c r="K12" s="119">
        <f t="shared" si="2"/>
        <v>161.78260869565216</v>
      </c>
      <c r="L12" s="119">
        <f t="shared" si="2"/>
        <v>177.74163403091231</v>
      </c>
      <c r="M12" s="119">
        <f t="shared" si="2"/>
        <v>195.27493543765431</v>
      </c>
      <c r="N12" s="119">
        <f t="shared" si="2"/>
        <v>214.53780718336481</v>
      </c>
      <c r="P12" s="169"/>
    </row>
    <row r="13" spans="1:16" s="120" customFormat="1" ht="30" customHeight="1" x14ac:dyDescent="0.25">
      <c r="A13" s="116" t="s">
        <v>190</v>
      </c>
      <c r="B13" s="117" t="s">
        <v>188</v>
      </c>
      <c r="C13" s="28" t="s">
        <v>7</v>
      </c>
      <c r="D13" s="200">
        <f>(H12/E12)^(1/3)-1</f>
        <v>9.8644875762156303E-2</v>
      </c>
      <c r="E13" s="200"/>
      <c r="F13" s="200"/>
      <c r="G13" s="200"/>
      <c r="H13" s="200"/>
      <c r="I13" s="200">
        <v>9.9000000000000005E-2</v>
      </c>
      <c r="J13" s="200"/>
      <c r="K13" s="200"/>
      <c r="L13" s="200"/>
      <c r="M13" s="200"/>
      <c r="N13" s="200"/>
      <c r="P13" s="169"/>
    </row>
    <row r="14" spans="1:16" s="120" customFormat="1" ht="30" customHeight="1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P14" s="169"/>
    </row>
    <row r="15" spans="1:16" s="120" customFormat="1" ht="30" customHeight="1" x14ac:dyDescent="0.25">
      <c r="A15" s="201" t="s">
        <v>234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P15" s="169"/>
    </row>
    <row r="16" spans="1:16" s="120" customFormat="1" ht="30" customHeight="1" x14ac:dyDescent="0.25">
      <c r="A16" s="116" t="s">
        <v>191</v>
      </c>
      <c r="B16" s="117" t="s">
        <v>4</v>
      </c>
      <c r="C16" s="28" t="s">
        <v>10</v>
      </c>
      <c r="D16" s="125">
        <f>100*(1+D17)</f>
        <v>101.1</v>
      </c>
      <c r="E16" s="125">
        <v>113.8</v>
      </c>
      <c r="F16" s="126">
        <f>E16*(1+$E$17)</f>
        <v>124.7846359372399</v>
      </c>
      <c r="G16" s="126">
        <f>F16*(1+$E$17)</f>
        <v>136.82957263611164</v>
      </c>
      <c r="H16" s="126">
        <f>G16*(1+$E$17)</f>
        <v>150.03715647491487</v>
      </c>
      <c r="I16" s="126">
        <f>H16*(1+$E$17)</f>
        <v>164.51961289789938</v>
      </c>
      <c r="J16" s="125">
        <v>180.4</v>
      </c>
      <c r="K16" s="126">
        <f>J16*(1+$K$17)</f>
        <v>197.81325415710086</v>
      </c>
      <c r="L16" s="126">
        <f>K16*(1+$K$17)</f>
        <v>216.90733658659522</v>
      </c>
      <c r="M16" s="126">
        <f>L16*(1+$K$17)</f>
        <v>237.84449058062074</v>
      </c>
      <c r="N16" s="126">
        <f>M16*(1+$K$17)</f>
        <v>260.80262009473677</v>
      </c>
      <c r="P16" s="169"/>
    </row>
    <row r="17" spans="1:16" s="120" customFormat="1" ht="30" customHeight="1" x14ac:dyDescent="0.25">
      <c r="A17" s="116" t="s">
        <v>192</v>
      </c>
      <c r="B17" s="117" t="s">
        <v>188</v>
      </c>
      <c r="C17" s="28" t="s">
        <v>7</v>
      </c>
      <c r="D17" s="127">
        <v>1.0999999999999999E-2</v>
      </c>
      <c r="E17" s="200">
        <f>(J16/E16)^(1/5)-1</f>
        <v>9.6525799097011422E-2</v>
      </c>
      <c r="F17" s="200"/>
      <c r="G17" s="200"/>
      <c r="H17" s="200"/>
      <c r="I17" s="200"/>
      <c r="J17" s="200"/>
      <c r="K17" s="200">
        <f>E17</f>
        <v>9.6525799097011422E-2</v>
      </c>
      <c r="L17" s="203"/>
      <c r="M17" s="203"/>
      <c r="N17" s="203"/>
      <c r="P17" s="169"/>
    </row>
    <row r="18" spans="1:16" s="120" customFormat="1" ht="30" customHeight="1" x14ac:dyDescent="0.25">
      <c r="A18" s="116"/>
      <c r="B18" s="117"/>
      <c r="C18" s="28"/>
      <c r="D18" s="127"/>
      <c r="E18" s="121"/>
      <c r="F18" s="121"/>
      <c r="G18" s="121"/>
      <c r="H18" s="121"/>
      <c r="I18" s="121"/>
      <c r="J18" s="121"/>
      <c r="K18" s="121"/>
      <c r="L18" s="28"/>
      <c r="M18" s="28"/>
      <c r="N18" s="28"/>
      <c r="P18" s="169"/>
    </row>
    <row r="19" spans="1:16" s="120" customFormat="1" ht="30" customHeight="1" x14ac:dyDescent="0.25">
      <c r="A19" s="201" t="s">
        <v>235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P19" s="173" t="s">
        <v>228</v>
      </c>
    </row>
    <row r="20" spans="1:16" s="120" customFormat="1" ht="30" customHeight="1" x14ac:dyDescent="0.25">
      <c r="A20" s="116" t="s">
        <v>193</v>
      </c>
      <c r="B20" s="117" t="s">
        <v>4</v>
      </c>
      <c r="C20" s="28" t="s">
        <v>10</v>
      </c>
      <c r="D20" s="121"/>
      <c r="E20" s="118">
        <v>150</v>
      </c>
      <c r="F20" s="119">
        <f>E20*(1+$F$21)</f>
        <v>161.32499999999999</v>
      </c>
      <c r="G20" s="119">
        <f t="shared" ref="G20:N20" si="3">F20*(1+$F$21)</f>
        <v>173.50503749999996</v>
      </c>
      <c r="H20" s="119">
        <f t="shared" si="3"/>
        <v>186.60466783124994</v>
      </c>
      <c r="I20" s="119">
        <f t="shared" si="3"/>
        <v>200.6933202525093</v>
      </c>
      <c r="J20" s="119">
        <f t="shared" si="3"/>
        <v>215.84566593157373</v>
      </c>
      <c r="K20" s="119">
        <f t="shared" si="3"/>
        <v>232.14201370940754</v>
      </c>
      <c r="L20" s="119">
        <f t="shared" si="3"/>
        <v>249.6687357444678</v>
      </c>
      <c r="M20" s="119">
        <f t="shared" si="3"/>
        <v>268.51872529317507</v>
      </c>
      <c r="N20" s="119">
        <f t="shared" si="3"/>
        <v>288.79188905280978</v>
      </c>
      <c r="P20" s="169"/>
    </row>
    <row r="21" spans="1:16" s="120" customFormat="1" ht="30" customHeight="1" x14ac:dyDescent="0.25">
      <c r="A21" s="116" t="s">
        <v>194</v>
      </c>
      <c r="B21" s="117" t="s">
        <v>188</v>
      </c>
      <c r="C21" s="28" t="s">
        <v>7</v>
      </c>
      <c r="D21" s="117"/>
      <c r="E21" s="117"/>
      <c r="F21" s="202">
        <v>7.5499999999999998E-2</v>
      </c>
      <c r="G21" s="202"/>
      <c r="H21" s="202"/>
      <c r="I21" s="202"/>
      <c r="J21" s="202"/>
      <c r="K21" s="202"/>
      <c r="L21" s="202"/>
      <c r="M21" s="202"/>
      <c r="N21" s="202"/>
      <c r="P21" s="169"/>
    </row>
    <row r="22" spans="1:16" s="120" customFormat="1" ht="30" customHeight="1" x14ac:dyDescent="0.25">
      <c r="A22" s="116"/>
      <c r="B22" s="117"/>
      <c r="C22" s="28"/>
      <c r="D22" s="117"/>
      <c r="E22" s="117"/>
      <c r="F22" s="174"/>
      <c r="G22" s="174"/>
      <c r="H22" s="174"/>
      <c r="I22" s="174"/>
      <c r="J22" s="174"/>
      <c r="K22" s="174"/>
      <c r="L22" s="174"/>
      <c r="M22" s="174"/>
      <c r="N22" s="174"/>
      <c r="P22" s="169"/>
    </row>
    <row r="23" spans="1:16" s="120" customFormat="1" ht="30" customHeight="1" x14ac:dyDescent="0.25">
      <c r="A23" s="201" t="s">
        <v>237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P23" s="169"/>
    </row>
    <row r="24" spans="1:16" s="120" customFormat="1" ht="30" customHeight="1" x14ac:dyDescent="0.25">
      <c r="A24" s="116" t="s">
        <v>202</v>
      </c>
      <c r="B24" s="117" t="s">
        <v>4</v>
      </c>
      <c r="C24" s="28" t="s">
        <v>10</v>
      </c>
      <c r="D24" s="117"/>
      <c r="E24" s="175">
        <v>123.71</v>
      </c>
      <c r="F24" s="176">
        <f>E24*(1+$F$25)</f>
        <v>136.08100000000002</v>
      </c>
      <c r="G24" s="176">
        <f t="shared" ref="G24:K24" si="4">F24*(1+$F$25)</f>
        <v>149.68910000000002</v>
      </c>
      <c r="H24" s="176">
        <f t="shared" si="4"/>
        <v>164.65801000000005</v>
      </c>
      <c r="I24" s="176">
        <f t="shared" si="4"/>
        <v>181.12381100000007</v>
      </c>
      <c r="J24" s="176">
        <f t="shared" si="4"/>
        <v>199.2361921000001</v>
      </c>
      <c r="K24" s="176">
        <f t="shared" si="4"/>
        <v>219.15981131000012</v>
      </c>
      <c r="L24" s="176">
        <f>K24*(1+$L$25)</f>
        <v>241.07579244100015</v>
      </c>
      <c r="M24" s="176">
        <f t="shared" ref="M24:N24" si="5">L24*(1+$L$25)</f>
        <v>265.18337168510016</v>
      </c>
      <c r="N24" s="176">
        <f t="shared" si="5"/>
        <v>291.70170885361017</v>
      </c>
      <c r="P24" s="169" t="s">
        <v>230</v>
      </c>
    </row>
    <row r="25" spans="1:16" s="120" customFormat="1" ht="30" customHeight="1" x14ac:dyDescent="0.25">
      <c r="A25" s="116" t="s">
        <v>229</v>
      </c>
      <c r="B25" s="117" t="s">
        <v>188</v>
      </c>
      <c r="C25" s="28" t="s">
        <v>7</v>
      </c>
      <c r="D25" s="117"/>
      <c r="E25" s="117"/>
      <c r="F25" s="202">
        <v>0.1</v>
      </c>
      <c r="G25" s="202"/>
      <c r="H25" s="202"/>
      <c r="I25" s="202"/>
      <c r="J25" s="202"/>
      <c r="K25" s="202"/>
      <c r="L25" s="207">
        <f>F25</f>
        <v>0.1</v>
      </c>
      <c r="M25" s="207"/>
      <c r="N25" s="207"/>
      <c r="P25" s="169"/>
    </row>
    <row r="26" spans="1:16" s="120" customFormat="1" ht="30" customHeight="1" x14ac:dyDescent="0.25">
      <c r="A26" s="128"/>
      <c r="B26" s="128"/>
      <c r="C26" s="128"/>
      <c r="D26" s="128"/>
      <c r="E26" s="129"/>
      <c r="F26" s="128"/>
      <c r="G26" s="128"/>
      <c r="H26" s="128"/>
      <c r="I26" s="128"/>
      <c r="J26" s="128"/>
      <c r="K26" s="128"/>
      <c r="L26" s="128"/>
      <c r="M26" s="128"/>
      <c r="N26" s="128"/>
      <c r="P26" s="169"/>
    </row>
    <row r="27" spans="1:16" s="120" customFormat="1" ht="30" customHeight="1" x14ac:dyDescent="0.25">
      <c r="A27" s="208" t="s">
        <v>238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P27" s="169"/>
    </row>
    <row r="28" spans="1:16" s="120" customFormat="1" ht="30" customHeight="1" x14ac:dyDescent="0.25">
      <c r="A28" s="116" t="s">
        <v>193</v>
      </c>
      <c r="B28" s="117" t="s">
        <v>4</v>
      </c>
      <c r="C28" s="28" t="s">
        <v>10</v>
      </c>
      <c r="D28" s="126">
        <f>(D16+D12+D8)/3</f>
        <v>84.084746666666661</v>
      </c>
      <c r="E28" s="126">
        <f>(E16+E12+E8+E20)/4</f>
        <v>108.86304</v>
      </c>
      <c r="F28" s="126">
        <f t="shared" ref="F28:N28" si="6">(F16+F12+F8+F20)/4</f>
        <v>118.69762898430997</v>
      </c>
      <c r="G28" s="126">
        <f t="shared" si="6"/>
        <v>128.78477253402789</v>
      </c>
      <c r="H28" s="126">
        <f t="shared" si="6"/>
        <v>139.4723760765412</v>
      </c>
      <c r="I28" s="126">
        <f t="shared" si="6"/>
        <v>152.42480199834793</v>
      </c>
      <c r="J28" s="126">
        <f t="shared" si="6"/>
        <v>164.89460365556596</v>
      </c>
      <c r="K28" s="126">
        <f t="shared" si="6"/>
        <v>178.98338914054017</v>
      </c>
      <c r="L28" s="126">
        <f t="shared" si="6"/>
        <v>194.36735864353815</v>
      </c>
      <c r="M28" s="126">
        <f t="shared" si="6"/>
        <v>211.09794246055495</v>
      </c>
      <c r="N28" s="126">
        <f t="shared" si="6"/>
        <v>229.29506012730582</v>
      </c>
      <c r="P28" s="169"/>
    </row>
    <row r="29" spans="1:16" s="120" customFormat="1" ht="30" customHeight="1" x14ac:dyDescent="0.25">
      <c r="A29" s="116" t="s">
        <v>194</v>
      </c>
      <c r="B29" s="117" t="s">
        <v>188</v>
      </c>
      <c r="C29" s="28" t="s">
        <v>7</v>
      </c>
      <c r="D29" s="200">
        <f>(N28/F28)^(1/8)-1</f>
        <v>8.5785610515443755E-2</v>
      </c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P29" s="169"/>
    </row>
    <row r="30" spans="1:16" x14ac:dyDescent="0.2">
      <c r="E30" s="110">
        <f>E28/D28</f>
        <v>1.2946823807599825</v>
      </c>
    </row>
    <row r="31" spans="1:16" x14ac:dyDescent="0.2">
      <c r="A31" s="131"/>
      <c r="B31" s="132" t="s">
        <v>195</v>
      </c>
    </row>
    <row r="32" spans="1:16" x14ac:dyDescent="0.2">
      <c r="I32" s="133"/>
    </row>
    <row r="34" spans="1:16" ht="25.15" customHeight="1" x14ac:dyDescent="0.2">
      <c r="A34" s="204" t="s">
        <v>239</v>
      </c>
      <c r="B34" s="204"/>
      <c r="C34" s="204"/>
    </row>
    <row r="36" spans="1:16" ht="40.9" customHeight="1" thickBot="1" x14ac:dyDescent="0.25">
      <c r="A36" s="111" t="s">
        <v>0</v>
      </c>
      <c r="B36" s="111" t="s">
        <v>196</v>
      </c>
      <c r="C36" s="111" t="s">
        <v>2</v>
      </c>
      <c r="D36" s="111">
        <v>2020</v>
      </c>
      <c r="E36" s="111">
        <f t="shared" ref="E36:N36" si="7">D36+1</f>
        <v>2021</v>
      </c>
      <c r="F36" s="111">
        <f t="shared" si="7"/>
        <v>2022</v>
      </c>
      <c r="G36" s="111">
        <f t="shared" si="7"/>
        <v>2023</v>
      </c>
      <c r="H36" s="111">
        <f t="shared" si="7"/>
        <v>2024</v>
      </c>
      <c r="I36" s="111">
        <f t="shared" si="7"/>
        <v>2025</v>
      </c>
      <c r="J36" s="111">
        <f t="shared" si="7"/>
        <v>2026</v>
      </c>
      <c r="K36" s="111">
        <f t="shared" si="7"/>
        <v>2027</v>
      </c>
      <c r="L36" s="111">
        <f t="shared" si="7"/>
        <v>2028</v>
      </c>
      <c r="M36" s="111">
        <f t="shared" si="7"/>
        <v>2029</v>
      </c>
      <c r="N36" s="111">
        <f t="shared" si="7"/>
        <v>2030</v>
      </c>
      <c r="O36" s="24"/>
      <c r="P36" s="111" t="s">
        <v>164</v>
      </c>
    </row>
    <row r="37" spans="1:16" ht="15.75" thickTop="1" x14ac:dyDescent="0.2"/>
    <row r="38" spans="1:16" ht="37.15" customHeight="1" x14ac:dyDescent="0.2">
      <c r="A38" s="134">
        <v>1</v>
      </c>
      <c r="B38" s="135" t="s">
        <v>197</v>
      </c>
      <c r="C38" s="134" t="s">
        <v>10</v>
      </c>
      <c r="D38" s="134">
        <f>49.5+D39</f>
        <v>54.9</v>
      </c>
      <c r="E38" s="134">
        <f>57.8</f>
        <v>57.8</v>
      </c>
      <c r="F38" s="134">
        <f>E38</f>
        <v>57.8</v>
      </c>
      <c r="G38" s="134">
        <f>F38+G39</f>
        <v>63.8</v>
      </c>
      <c r="H38" s="134">
        <f t="shared" ref="H38:N38" si="8">G38</f>
        <v>63.8</v>
      </c>
      <c r="I38" s="134">
        <f>H38+1</f>
        <v>64.8</v>
      </c>
      <c r="J38" s="134">
        <f t="shared" si="8"/>
        <v>64.8</v>
      </c>
      <c r="K38" s="134">
        <f t="shared" si="8"/>
        <v>64.8</v>
      </c>
      <c r="L38" s="134">
        <f t="shared" si="8"/>
        <v>64.8</v>
      </c>
      <c r="M38" s="134">
        <f t="shared" si="8"/>
        <v>64.8</v>
      </c>
      <c r="N38" s="134">
        <f t="shared" si="8"/>
        <v>64.8</v>
      </c>
      <c r="P38" s="167" t="s">
        <v>227</v>
      </c>
    </row>
    <row r="39" spans="1:16" ht="25.15" customHeight="1" x14ac:dyDescent="0.2">
      <c r="A39" s="28" t="s">
        <v>186</v>
      </c>
      <c r="B39" s="117" t="s">
        <v>198</v>
      </c>
      <c r="C39" s="28" t="s">
        <v>10</v>
      </c>
      <c r="D39" s="28">
        <v>5.4</v>
      </c>
      <c r="E39" s="28"/>
      <c r="F39" s="28"/>
      <c r="G39" s="28">
        <v>6</v>
      </c>
      <c r="H39" s="28"/>
      <c r="I39" s="28">
        <v>1</v>
      </c>
      <c r="J39" s="28"/>
      <c r="K39" s="28"/>
      <c r="L39" s="28"/>
      <c r="M39" s="28"/>
      <c r="N39" s="28"/>
    </row>
    <row r="40" spans="1:16" ht="25.15" customHeight="1" x14ac:dyDescent="0.2">
      <c r="A40" s="136">
        <f>A38+1</f>
        <v>2</v>
      </c>
      <c r="B40" s="137" t="s">
        <v>152</v>
      </c>
      <c r="C40" s="134" t="s">
        <v>10</v>
      </c>
      <c r="D40" s="136">
        <v>13</v>
      </c>
      <c r="E40" s="136">
        <f t="shared" ref="E40:N40" si="9">D40</f>
        <v>13</v>
      </c>
      <c r="F40" s="136">
        <f t="shared" si="9"/>
        <v>13</v>
      </c>
      <c r="G40" s="136">
        <f t="shared" si="9"/>
        <v>13</v>
      </c>
      <c r="H40" s="136">
        <f t="shared" si="9"/>
        <v>13</v>
      </c>
      <c r="I40" s="136">
        <f t="shared" si="9"/>
        <v>13</v>
      </c>
      <c r="J40" s="136">
        <f t="shared" si="9"/>
        <v>13</v>
      </c>
      <c r="K40" s="136">
        <f t="shared" si="9"/>
        <v>13</v>
      </c>
      <c r="L40" s="136">
        <f t="shared" si="9"/>
        <v>13</v>
      </c>
      <c r="M40" s="136">
        <f t="shared" si="9"/>
        <v>13</v>
      </c>
      <c r="N40" s="136">
        <f t="shared" si="9"/>
        <v>13</v>
      </c>
    </row>
    <row r="41" spans="1:16" ht="25.15" customHeight="1" x14ac:dyDescent="0.2">
      <c r="A41" s="28" t="s">
        <v>189</v>
      </c>
      <c r="B41" s="117" t="s">
        <v>199</v>
      </c>
      <c r="C41" s="28" t="s">
        <v>10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</row>
    <row r="42" spans="1:16" ht="25.15" customHeight="1" x14ac:dyDescent="0.2">
      <c r="A42" s="136">
        <f>A40+1</f>
        <v>3</v>
      </c>
      <c r="B42" s="137" t="s">
        <v>200</v>
      </c>
      <c r="C42" s="134" t="s">
        <v>10</v>
      </c>
      <c r="D42" s="136">
        <v>16</v>
      </c>
      <c r="E42" s="136">
        <f t="shared" ref="E42:N42" si="10">D42</f>
        <v>16</v>
      </c>
      <c r="F42" s="136">
        <f t="shared" si="10"/>
        <v>16</v>
      </c>
      <c r="G42" s="136">
        <f t="shared" si="10"/>
        <v>16</v>
      </c>
      <c r="H42" s="136">
        <f t="shared" si="10"/>
        <v>16</v>
      </c>
      <c r="I42" s="136">
        <f t="shared" si="10"/>
        <v>16</v>
      </c>
      <c r="J42" s="136">
        <f t="shared" si="10"/>
        <v>16</v>
      </c>
      <c r="K42" s="136">
        <f t="shared" si="10"/>
        <v>16</v>
      </c>
      <c r="L42" s="136">
        <f t="shared" si="10"/>
        <v>16</v>
      </c>
      <c r="M42" s="136">
        <f t="shared" si="10"/>
        <v>16</v>
      </c>
      <c r="N42" s="136">
        <f t="shared" si="10"/>
        <v>16</v>
      </c>
    </row>
    <row r="43" spans="1:16" ht="25.15" customHeight="1" x14ac:dyDescent="0.2">
      <c r="A43" s="28" t="s">
        <v>191</v>
      </c>
      <c r="B43" s="117" t="s">
        <v>199</v>
      </c>
      <c r="C43" s="28" t="s">
        <v>10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</row>
    <row r="44" spans="1:16" ht="25.15" customHeight="1" x14ac:dyDescent="0.2">
      <c r="A44" s="136">
        <f>A42+1</f>
        <v>4</v>
      </c>
      <c r="B44" s="137" t="s">
        <v>100</v>
      </c>
      <c r="C44" s="134" t="s">
        <v>10</v>
      </c>
      <c r="D44" s="136">
        <f>12.5+D45</f>
        <v>16</v>
      </c>
      <c r="E44" s="136">
        <f t="shared" ref="E44:N44" si="11">D44</f>
        <v>16</v>
      </c>
      <c r="F44" s="136">
        <f t="shared" si="11"/>
        <v>16</v>
      </c>
      <c r="G44" s="136">
        <f t="shared" si="11"/>
        <v>16</v>
      </c>
      <c r="H44" s="136">
        <f t="shared" si="11"/>
        <v>16</v>
      </c>
      <c r="I44" s="136">
        <f t="shared" si="11"/>
        <v>16</v>
      </c>
      <c r="J44" s="136">
        <f t="shared" si="11"/>
        <v>16</v>
      </c>
      <c r="K44" s="136">
        <f t="shared" si="11"/>
        <v>16</v>
      </c>
      <c r="L44" s="136">
        <f t="shared" si="11"/>
        <v>16</v>
      </c>
      <c r="M44" s="136">
        <f t="shared" si="11"/>
        <v>16</v>
      </c>
      <c r="N44" s="136">
        <f t="shared" si="11"/>
        <v>16</v>
      </c>
    </row>
    <row r="45" spans="1:16" ht="25.15" customHeight="1" x14ac:dyDescent="0.2">
      <c r="A45" s="28" t="s">
        <v>193</v>
      </c>
      <c r="B45" s="117" t="s">
        <v>199</v>
      </c>
      <c r="C45" s="28" t="s">
        <v>10</v>
      </c>
      <c r="D45" s="130">
        <v>3.5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</row>
    <row r="46" spans="1:16" ht="25.15" customHeight="1" x14ac:dyDescent="0.2">
      <c r="A46" s="136">
        <f>A44+1</f>
        <v>5</v>
      </c>
      <c r="B46" s="137" t="s">
        <v>201</v>
      </c>
      <c r="C46" s="134" t="s">
        <v>10</v>
      </c>
      <c r="D46" s="136">
        <f>11.5+D47</f>
        <v>13</v>
      </c>
      <c r="E46" s="136">
        <f>D46</f>
        <v>13</v>
      </c>
      <c r="F46" s="136">
        <f>E46</f>
        <v>13</v>
      </c>
      <c r="G46" s="136">
        <f>F46</f>
        <v>13</v>
      </c>
      <c r="H46" s="136">
        <f>G46+H47</f>
        <v>17.5</v>
      </c>
      <c r="I46" s="136">
        <f t="shared" ref="I46:N46" si="12">H46</f>
        <v>17.5</v>
      </c>
      <c r="J46" s="136">
        <f t="shared" si="12"/>
        <v>17.5</v>
      </c>
      <c r="K46" s="136">
        <f t="shared" si="12"/>
        <v>17.5</v>
      </c>
      <c r="L46" s="136">
        <f t="shared" si="12"/>
        <v>17.5</v>
      </c>
      <c r="M46" s="136">
        <f t="shared" si="12"/>
        <v>17.5</v>
      </c>
      <c r="N46" s="136">
        <f t="shared" si="12"/>
        <v>17.5</v>
      </c>
    </row>
    <row r="47" spans="1:16" ht="25.15" customHeight="1" x14ac:dyDescent="0.2">
      <c r="A47" s="28" t="s">
        <v>202</v>
      </c>
      <c r="B47" s="117" t="s">
        <v>199</v>
      </c>
      <c r="C47" s="28" t="s">
        <v>10</v>
      </c>
      <c r="D47" s="130">
        <v>1.5</v>
      </c>
      <c r="E47" s="130"/>
      <c r="F47" s="130"/>
      <c r="G47" s="130"/>
      <c r="H47" s="130">
        <v>4.5</v>
      </c>
      <c r="I47" s="130"/>
      <c r="J47" s="130"/>
      <c r="K47" s="130"/>
      <c r="L47" s="130"/>
      <c r="M47" s="130"/>
      <c r="N47" s="130"/>
    </row>
    <row r="48" spans="1:16" ht="25.15" customHeight="1" x14ac:dyDescent="0.2">
      <c r="A48" s="136">
        <f>A46+1</f>
        <v>6</v>
      </c>
      <c r="B48" s="137" t="s">
        <v>105</v>
      </c>
      <c r="C48" s="134" t="s">
        <v>10</v>
      </c>
      <c r="D48" s="136">
        <v>9</v>
      </c>
      <c r="E48" s="136">
        <f t="shared" ref="E48:N48" si="13">D48</f>
        <v>9</v>
      </c>
      <c r="F48" s="136">
        <f t="shared" si="13"/>
        <v>9</v>
      </c>
      <c r="G48" s="136">
        <f t="shared" si="13"/>
        <v>9</v>
      </c>
      <c r="H48" s="136">
        <f t="shared" si="13"/>
        <v>9</v>
      </c>
      <c r="I48" s="136">
        <f t="shared" si="13"/>
        <v>9</v>
      </c>
      <c r="J48" s="136">
        <f t="shared" si="13"/>
        <v>9</v>
      </c>
      <c r="K48" s="136">
        <f t="shared" si="13"/>
        <v>9</v>
      </c>
      <c r="L48" s="136">
        <f t="shared" si="13"/>
        <v>9</v>
      </c>
      <c r="M48" s="136">
        <f t="shared" si="13"/>
        <v>9</v>
      </c>
      <c r="N48" s="136">
        <f t="shared" si="13"/>
        <v>9</v>
      </c>
    </row>
    <row r="49" spans="1:16" ht="25.15" customHeight="1" x14ac:dyDescent="0.2">
      <c r="A49" s="28" t="s">
        <v>203</v>
      </c>
      <c r="B49" s="117" t="s">
        <v>199</v>
      </c>
      <c r="C49" s="28" t="s">
        <v>10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</row>
    <row r="50" spans="1:16" ht="25.15" customHeight="1" x14ac:dyDescent="0.2">
      <c r="A50" s="136">
        <f>A48+1</f>
        <v>7</v>
      </c>
      <c r="B50" s="137" t="s">
        <v>204</v>
      </c>
      <c r="C50" s="134" t="s">
        <v>10</v>
      </c>
      <c r="D50" s="136">
        <v>4.4000000000000004</v>
      </c>
      <c r="E50" s="136">
        <f t="shared" ref="E50:N50" si="14">D50</f>
        <v>4.4000000000000004</v>
      </c>
      <c r="F50" s="136">
        <f t="shared" si="14"/>
        <v>4.4000000000000004</v>
      </c>
      <c r="G50" s="136">
        <f t="shared" si="14"/>
        <v>4.4000000000000004</v>
      </c>
      <c r="H50" s="136">
        <f t="shared" si="14"/>
        <v>4.4000000000000004</v>
      </c>
      <c r="I50" s="136">
        <f t="shared" si="14"/>
        <v>4.4000000000000004</v>
      </c>
      <c r="J50" s="136">
        <f t="shared" si="14"/>
        <v>4.4000000000000004</v>
      </c>
      <c r="K50" s="136">
        <f t="shared" si="14"/>
        <v>4.4000000000000004</v>
      </c>
      <c r="L50" s="136">
        <f t="shared" si="14"/>
        <v>4.4000000000000004</v>
      </c>
      <c r="M50" s="136">
        <f t="shared" si="14"/>
        <v>4.4000000000000004</v>
      </c>
      <c r="N50" s="136">
        <f t="shared" si="14"/>
        <v>4.4000000000000004</v>
      </c>
    </row>
    <row r="51" spans="1:16" ht="25.15" customHeight="1" x14ac:dyDescent="0.2">
      <c r="A51" s="28" t="s">
        <v>205</v>
      </c>
      <c r="B51" s="117" t="s">
        <v>199</v>
      </c>
      <c r="C51" s="28" t="s">
        <v>10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1:16" ht="25.15" customHeight="1" x14ac:dyDescent="0.2">
      <c r="A52" s="136">
        <f>A50+1</f>
        <v>8</v>
      </c>
      <c r="B52" s="138" t="s">
        <v>206</v>
      </c>
      <c r="C52" s="134" t="s">
        <v>10</v>
      </c>
      <c r="D52" s="136">
        <v>6</v>
      </c>
      <c r="E52" s="136">
        <f>D52+E53</f>
        <v>16</v>
      </c>
      <c r="F52" s="136">
        <f t="shared" ref="F52:M52" si="15">E52</f>
        <v>16</v>
      </c>
      <c r="G52" s="136">
        <f t="shared" si="15"/>
        <v>16</v>
      </c>
      <c r="H52" s="136">
        <f t="shared" si="15"/>
        <v>16</v>
      </c>
      <c r="I52" s="136">
        <f t="shared" si="15"/>
        <v>16</v>
      </c>
      <c r="J52" s="136">
        <f t="shared" si="15"/>
        <v>16</v>
      </c>
      <c r="K52" s="136">
        <f t="shared" si="15"/>
        <v>16</v>
      </c>
      <c r="L52" s="136">
        <f t="shared" si="15"/>
        <v>16</v>
      </c>
      <c r="M52" s="136">
        <f t="shared" si="15"/>
        <v>16</v>
      </c>
      <c r="N52" s="136">
        <f>M52+N53</f>
        <v>25</v>
      </c>
    </row>
    <row r="53" spans="1:16" ht="25.15" customHeight="1" x14ac:dyDescent="0.2">
      <c r="A53" s="28" t="s">
        <v>207</v>
      </c>
      <c r="B53" s="117" t="s">
        <v>199</v>
      </c>
      <c r="C53" s="28" t="s">
        <v>10</v>
      </c>
      <c r="D53" s="130"/>
      <c r="E53" s="130">
        <v>10</v>
      </c>
      <c r="F53" s="130"/>
      <c r="G53" s="130"/>
      <c r="H53" s="130"/>
      <c r="I53" s="130"/>
      <c r="J53" s="130"/>
      <c r="K53" s="130"/>
      <c r="L53" s="130"/>
      <c r="M53" s="130"/>
      <c r="N53" s="130">
        <v>9</v>
      </c>
    </row>
    <row r="54" spans="1:16" ht="25.15" customHeight="1" x14ac:dyDescent="0.2">
      <c r="A54" s="136">
        <f>A52+1</f>
        <v>9</v>
      </c>
      <c r="B54" s="137" t="s">
        <v>208</v>
      </c>
      <c r="C54" s="134" t="s">
        <v>10</v>
      </c>
      <c r="D54" s="136">
        <v>3.5</v>
      </c>
      <c r="E54" s="136">
        <f>D54</f>
        <v>3.5</v>
      </c>
      <c r="F54" s="136">
        <f>E54</f>
        <v>3.5</v>
      </c>
      <c r="G54" s="136">
        <f>F54+G55</f>
        <v>5.5</v>
      </c>
      <c r="H54" s="136">
        <f t="shared" ref="H54:N54" si="16">G54</f>
        <v>5.5</v>
      </c>
      <c r="I54" s="136">
        <f t="shared" si="16"/>
        <v>5.5</v>
      </c>
      <c r="J54" s="136">
        <f t="shared" si="16"/>
        <v>5.5</v>
      </c>
      <c r="K54" s="136">
        <f t="shared" si="16"/>
        <v>5.5</v>
      </c>
      <c r="L54" s="136">
        <f t="shared" si="16"/>
        <v>5.5</v>
      </c>
      <c r="M54" s="136">
        <f t="shared" si="16"/>
        <v>5.5</v>
      </c>
      <c r="N54" s="136">
        <f t="shared" si="16"/>
        <v>5.5</v>
      </c>
    </row>
    <row r="55" spans="1:16" ht="25.15" customHeight="1" x14ac:dyDescent="0.2">
      <c r="A55" s="28" t="s">
        <v>209</v>
      </c>
      <c r="B55" s="117" t="s">
        <v>199</v>
      </c>
      <c r="C55" s="28" t="s">
        <v>10</v>
      </c>
      <c r="D55" s="130"/>
      <c r="E55" s="130"/>
      <c r="F55" s="130"/>
      <c r="G55" s="130">
        <v>2</v>
      </c>
      <c r="H55" s="130"/>
      <c r="I55" s="130"/>
      <c r="J55" s="130"/>
      <c r="K55" s="130"/>
      <c r="L55" s="130"/>
      <c r="M55" s="130"/>
      <c r="N55" s="130"/>
    </row>
    <row r="56" spans="1:16" ht="25.15" customHeight="1" x14ac:dyDescent="0.2">
      <c r="A56" s="136">
        <f>A54+1</f>
        <v>10</v>
      </c>
      <c r="B56" s="137" t="s">
        <v>210</v>
      </c>
      <c r="C56" s="134" t="s">
        <v>10</v>
      </c>
      <c r="D56" s="136">
        <f>2+D57</f>
        <v>4</v>
      </c>
      <c r="E56" s="136">
        <f>D56</f>
        <v>4</v>
      </c>
      <c r="F56" s="136">
        <f>E56+F57</f>
        <v>4</v>
      </c>
      <c r="G56" s="136">
        <f>F56+G57</f>
        <v>6.5</v>
      </c>
      <c r="H56" s="136">
        <f>G56</f>
        <v>6.5</v>
      </c>
      <c r="I56" s="136">
        <f>H56</f>
        <v>6.5</v>
      </c>
      <c r="J56" s="136">
        <f>I56</f>
        <v>6.5</v>
      </c>
      <c r="K56" s="136">
        <f>J56</f>
        <v>6.5</v>
      </c>
      <c r="L56" s="136">
        <f>K56+L57</f>
        <v>24</v>
      </c>
      <c r="M56" s="136">
        <f>L56</f>
        <v>24</v>
      </c>
      <c r="N56" s="136">
        <f>M56</f>
        <v>24</v>
      </c>
    </row>
    <row r="57" spans="1:16" ht="39" customHeight="1" x14ac:dyDescent="0.2">
      <c r="A57" s="28" t="s">
        <v>211</v>
      </c>
      <c r="B57" s="117" t="s">
        <v>199</v>
      </c>
      <c r="C57" s="28" t="s">
        <v>10</v>
      </c>
      <c r="D57" s="130">
        <v>2</v>
      </c>
      <c r="E57" s="130"/>
      <c r="F57" s="130"/>
      <c r="G57" s="130">
        <v>2.5</v>
      </c>
      <c r="H57" s="130"/>
      <c r="I57" s="130"/>
      <c r="J57" s="130"/>
      <c r="K57" s="130"/>
      <c r="L57" s="130">
        <v>17.5</v>
      </c>
      <c r="M57" s="130"/>
      <c r="N57" s="130"/>
      <c r="P57" s="167" t="s">
        <v>231</v>
      </c>
    </row>
    <row r="58" spans="1:16" ht="25.15" customHeight="1" x14ac:dyDescent="0.2">
      <c r="A58" s="136">
        <f>A56+1</f>
        <v>11</v>
      </c>
      <c r="B58" s="137" t="s">
        <v>212</v>
      </c>
      <c r="C58" s="134" t="s">
        <v>10</v>
      </c>
      <c r="D58" s="136">
        <v>1.2</v>
      </c>
      <c r="E58" s="136">
        <f t="shared" ref="E58:M58" si="17">D58</f>
        <v>1.2</v>
      </c>
      <c r="F58" s="136">
        <f t="shared" si="17"/>
        <v>1.2</v>
      </c>
      <c r="G58" s="136">
        <f t="shared" si="17"/>
        <v>1.2</v>
      </c>
      <c r="H58" s="136">
        <f t="shared" si="17"/>
        <v>1.2</v>
      </c>
      <c r="I58" s="136">
        <f t="shared" si="17"/>
        <v>1.2</v>
      </c>
      <c r="J58" s="136">
        <f t="shared" si="17"/>
        <v>1.2</v>
      </c>
      <c r="K58" s="136">
        <f>J58+K59</f>
        <v>1.2</v>
      </c>
      <c r="L58" s="136">
        <f>K58+L59</f>
        <v>2.8</v>
      </c>
      <c r="M58" s="136">
        <f t="shared" si="17"/>
        <v>2.8</v>
      </c>
      <c r="N58" s="136">
        <f>M58+N59</f>
        <v>12</v>
      </c>
    </row>
    <row r="59" spans="1:16" ht="25.15" customHeight="1" x14ac:dyDescent="0.2">
      <c r="A59" s="28" t="s">
        <v>213</v>
      </c>
      <c r="B59" s="117" t="s">
        <v>199</v>
      </c>
      <c r="C59" s="28" t="s">
        <v>10</v>
      </c>
      <c r="D59" s="130"/>
      <c r="E59" s="130"/>
      <c r="F59" s="130"/>
      <c r="G59" s="130"/>
      <c r="H59" s="130"/>
      <c r="I59" s="130"/>
      <c r="J59" s="130"/>
      <c r="K59" s="130"/>
      <c r="L59" s="190">
        <v>1.6</v>
      </c>
      <c r="M59" s="130"/>
      <c r="N59" s="130">
        <v>9.1999999999999993</v>
      </c>
    </row>
    <row r="60" spans="1:16" ht="25.15" customHeight="1" x14ac:dyDescent="0.2">
      <c r="A60" s="136">
        <f>A58+1</f>
        <v>12</v>
      </c>
      <c r="B60" s="137" t="s">
        <v>214</v>
      </c>
      <c r="C60" s="134" t="s">
        <v>10</v>
      </c>
      <c r="D60" s="136">
        <f>16.2+D61</f>
        <v>19.599999999999998</v>
      </c>
      <c r="E60" s="136">
        <f>D60</f>
        <v>19.599999999999998</v>
      </c>
      <c r="F60" s="136">
        <f>E60</f>
        <v>19.599999999999998</v>
      </c>
      <c r="G60" s="136">
        <f>F60+G61</f>
        <v>23.599999999999998</v>
      </c>
      <c r="H60" s="136">
        <f>G60</f>
        <v>23.599999999999998</v>
      </c>
      <c r="I60" s="136">
        <f>H60</f>
        <v>23.599999999999998</v>
      </c>
      <c r="J60" s="136">
        <f>I60</f>
        <v>23.599999999999998</v>
      </c>
      <c r="K60" s="136">
        <f>J60</f>
        <v>23.599999999999998</v>
      </c>
      <c r="L60" s="136">
        <f>K60+L63</f>
        <v>31.599999999999998</v>
      </c>
      <c r="M60" s="136">
        <f>L60</f>
        <v>31.599999999999998</v>
      </c>
      <c r="N60" s="136">
        <f>M60</f>
        <v>31.599999999999998</v>
      </c>
    </row>
    <row r="61" spans="1:16" ht="25.15" customHeight="1" x14ac:dyDescent="0.2">
      <c r="A61" s="28" t="s">
        <v>215</v>
      </c>
      <c r="B61" s="117" t="s">
        <v>199</v>
      </c>
      <c r="C61" s="28" t="s">
        <v>10</v>
      </c>
      <c r="D61" s="130">
        <f t="shared" ref="D61:N61" si="18">SUM(D62:D63)</f>
        <v>3.4</v>
      </c>
      <c r="E61" s="130">
        <f t="shared" si="18"/>
        <v>0</v>
      </c>
      <c r="F61" s="130">
        <f t="shared" si="18"/>
        <v>0</v>
      </c>
      <c r="G61" s="130">
        <f t="shared" si="18"/>
        <v>4</v>
      </c>
      <c r="H61" s="130">
        <f t="shared" si="18"/>
        <v>0</v>
      </c>
      <c r="I61" s="130">
        <f t="shared" si="18"/>
        <v>0</v>
      </c>
      <c r="J61" s="130">
        <f t="shared" si="18"/>
        <v>0</v>
      </c>
      <c r="K61" s="130">
        <f t="shared" si="18"/>
        <v>0</v>
      </c>
      <c r="L61" s="130">
        <f t="shared" si="18"/>
        <v>8</v>
      </c>
      <c r="M61" s="130">
        <f t="shared" si="18"/>
        <v>0</v>
      </c>
      <c r="N61" s="130">
        <f t="shared" si="18"/>
        <v>0</v>
      </c>
    </row>
    <row r="62" spans="1:16" s="120" customFormat="1" ht="25.15" customHeight="1" x14ac:dyDescent="0.25">
      <c r="A62" s="28" t="s">
        <v>216</v>
      </c>
      <c r="B62" s="117" t="s">
        <v>217</v>
      </c>
      <c r="C62" s="28" t="s">
        <v>10</v>
      </c>
      <c r="D62" s="130">
        <v>3.4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P62" s="169"/>
    </row>
    <row r="63" spans="1:16" s="120" customFormat="1" ht="31.9" customHeight="1" x14ac:dyDescent="0.25">
      <c r="A63" s="28" t="s">
        <v>218</v>
      </c>
      <c r="B63" s="139" t="s">
        <v>219</v>
      </c>
      <c r="C63" s="28" t="s">
        <v>10</v>
      </c>
      <c r="D63" s="130"/>
      <c r="E63" s="130"/>
      <c r="F63" s="130"/>
      <c r="G63" s="130">
        <v>4</v>
      </c>
      <c r="H63" s="130"/>
      <c r="I63" s="130"/>
      <c r="J63" s="130"/>
      <c r="K63" s="130"/>
      <c r="L63" s="130">
        <v>8</v>
      </c>
      <c r="M63" s="130"/>
      <c r="N63" s="130"/>
      <c r="P63" s="169"/>
    </row>
    <row r="64" spans="1:16" ht="31.9" customHeight="1" x14ac:dyDescent="0.2"/>
    <row r="65" spans="1:16" s="142" customFormat="1" ht="25.15" customHeight="1" x14ac:dyDescent="0.25">
      <c r="A65" s="140" t="s">
        <v>220</v>
      </c>
      <c r="B65" s="141" t="s">
        <v>221</v>
      </c>
      <c r="C65" s="140" t="s">
        <v>10</v>
      </c>
      <c r="D65" s="140">
        <f t="shared" ref="D65:N65" si="19">D38+D40+D42+D44+D46+D48+D50++D52+D54+D56+D58+D60</f>
        <v>160.6</v>
      </c>
      <c r="E65" s="140">
        <f t="shared" si="19"/>
        <v>173.49999999999997</v>
      </c>
      <c r="F65" s="140">
        <f t="shared" si="19"/>
        <v>173.49999999999997</v>
      </c>
      <c r="G65" s="140">
        <f t="shared" si="19"/>
        <v>188</v>
      </c>
      <c r="H65" s="140">
        <f t="shared" si="19"/>
        <v>192.5</v>
      </c>
      <c r="I65" s="140">
        <f t="shared" si="19"/>
        <v>193.5</v>
      </c>
      <c r="J65" s="140">
        <f t="shared" si="19"/>
        <v>193.5</v>
      </c>
      <c r="K65" s="140">
        <f t="shared" si="19"/>
        <v>193.5</v>
      </c>
      <c r="L65" s="140">
        <f t="shared" si="19"/>
        <v>220.60000000000002</v>
      </c>
      <c r="M65" s="140">
        <f t="shared" si="19"/>
        <v>220.60000000000002</v>
      </c>
      <c r="N65" s="140">
        <f t="shared" si="19"/>
        <v>238.8</v>
      </c>
      <c r="P65" s="171"/>
    </row>
    <row r="66" spans="1:16" ht="27" customHeight="1" x14ac:dyDescent="0.2">
      <c r="A66" s="28" t="s">
        <v>222</v>
      </c>
      <c r="B66" s="139" t="s">
        <v>199</v>
      </c>
      <c r="C66" s="28" t="s">
        <v>10</v>
      </c>
      <c r="D66" s="130">
        <f t="shared" ref="D66:N66" si="20">D39+D41+D43+D45+D47+D49+D51+D53+D55+D57+D59+D61</f>
        <v>15.8</v>
      </c>
      <c r="E66" s="130">
        <f t="shared" si="20"/>
        <v>10</v>
      </c>
      <c r="F66" s="130">
        <f t="shared" si="20"/>
        <v>0</v>
      </c>
      <c r="G66" s="130">
        <f t="shared" si="20"/>
        <v>14.5</v>
      </c>
      <c r="H66" s="130">
        <f t="shared" si="20"/>
        <v>4.5</v>
      </c>
      <c r="I66" s="130">
        <f t="shared" si="20"/>
        <v>1</v>
      </c>
      <c r="J66" s="130">
        <f t="shared" si="20"/>
        <v>0</v>
      </c>
      <c r="K66" s="130">
        <f t="shared" si="20"/>
        <v>0</v>
      </c>
      <c r="L66" s="130">
        <f t="shared" si="20"/>
        <v>27.1</v>
      </c>
      <c r="M66" s="130">
        <f t="shared" si="20"/>
        <v>0</v>
      </c>
      <c r="N66" s="130">
        <f t="shared" si="20"/>
        <v>18.2</v>
      </c>
    </row>
    <row r="69" spans="1:16" ht="25.15" customHeight="1" x14ac:dyDescent="0.2">
      <c r="A69" s="204" t="s">
        <v>223</v>
      </c>
      <c r="B69" s="204"/>
      <c r="C69" s="204"/>
    </row>
    <row r="71" spans="1:16" ht="15.75" thickBot="1" x14ac:dyDescent="0.25"/>
    <row r="72" spans="1:16" s="143" customFormat="1" ht="22.9" customHeight="1" x14ac:dyDescent="0.2">
      <c r="B72" s="144" t="s">
        <v>224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6"/>
      <c r="P72" s="172"/>
    </row>
    <row r="73" spans="1:16" s="143" customFormat="1" ht="15.75" thickBot="1" x14ac:dyDescent="0.3">
      <c r="B73" s="147"/>
      <c r="D73" s="148">
        <v>2020</v>
      </c>
      <c r="E73" s="148">
        <v>2021</v>
      </c>
      <c r="F73" s="148">
        <v>2022</v>
      </c>
      <c r="G73" s="148">
        <v>2023</v>
      </c>
      <c r="H73" s="177">
        <v>2024</v>
      </c>
      <c r="I73" s="148">
        <v>2025</v>
      </c>
      <c r="J73" s="148">
        <v>2026</v>
      </c>
      <c r="K73" s="148">
        <v>2027</v>
      </c>
      <c r="L73" s="148">
        <v>2028</v>
      </c>
      <c r="M73" s="148">
        <v>2029</v>
      </c>
      <c r="N73" s="149">
        <v>2030</v>
      </c>
      <c r="P73" s="172"/>
    </row>
    <row r="74" spans="1:16" s="143" customFormat="1" ht="14.25" x14ac:dyDescent="0.2">
      <c r="B74" s="147"/>
      <c r="H74" s="178"/>
      <c r="N74" s="150"/>
      <c r="P74" s="172"/>
    </row>
    <row r="75" spans="1:16" s="143" customFormat="1" ht="14.25" x14ac:dyDescent="0.2">
      <c r="B75" s="151" t="s">
        <v>232</v>
      </c>
      <c r="C75" s="152" t="s">
        <v>241</v>
      </c>
      <c r="D75" s="153">
        <f t="shared" ref="D75:N75" si="21">D28</f>
        <v>84.084746666666661</v>
      </c>
      <c r="E75" s="153">
        <f t="shared" si="21"/>
        <v>108.86304</v>
      </c>
      <c r="F75" s="153">
        <f t="shared" si="21"/>
        <v>118.69762898430997</v>
      </c>
      <c r="G75" s="153">
        <f t="shared" si="21"/>
        <v>128.78477253402789</v>
      </c>
      <c r="H75" s="179">
        <f t="shared" si="21"/>
        <v>139.4723760765412</v>
      </c>
      <c r="I75" s="153">
        <f t="shared" si="21"/>
        <v>152.42480199834793</v>
      </c>
      <c r="J75" s="153">
        <f t="shared" si="21"/>
        <v>164.89460365556596</v>
      </c>
      <c r="K75" s="153">
        <f t="shared" si="21"/>
        <v>178.98338914054017</v>
      </c>
      <c r="L75" s="153">
        <f t="shared" si="21"/>
        <v>194.36735864353815</v>
      </c>
      <c r="M75" s="153">
        <f t="shared" si="21"/>
        <v>211.09794246055495</v>
      </c>
      <c r="N75" s="154">
        <f t="shared" si="21"/>
        <v>229.29506012730582</v>
      </c>
      <c r="P75" s="172"/>
    </row>
    <row r="76" spans="1:16" s="143" customFormat="1" ht="14.25" x14ac:dyDescent="0.2">
      <c r="B76" s="155" t="s">
        <v>240</v>
      </c>
      <c r="C76" s="156" t="s">
        <v>7</v>
      </c>
      <c r="D76" s="157">
        <f>D29</f>
        <v>8.5785610515443755E-2</v>
      </c>
      <c r="H76" s="178"/>
      <c r="N76" s="150"/>
      <c r="P76" s="172"/>
    </row>
    <row r="77" spans="1:16" s="143" customFormat="1" ht="14.25" x14ac:dyDescent="0.2">
      <c r="B77" s="147"/>
      <c r="C77" s="158"/>
      <c r="D77" s="159"/>
      <c r="H77" s="178"/>
      <c r="N77" s="150"/>
      <c r="P77" s="172"/>
    </row>
    <row r="78" spans="1:16" s="143" customFormat="1" ht="14.25" x14ac:dyDescent="0.2">
      <c r="B78" s="147" t="s">
        <v>244</v>
      </c>
      <c r="C78" s="158" t="s">
        <v>241</v>
      </c>
      <c r="D78" s="153">
        <f t="shared" ref="D78:N78" si="22">D65</f>
        <v>160.6</v>
      </c>
      <c r="E78" s="153">
        <f t="shared" si="22"/>
        <v>173.49999999999997</v>
      </c>
      <c r="F78" s="153">
        <f t="shared" si="22"/>
        <v>173.49999999999997</v>
      </c>
      <c r="G78" s="153">
        <f t="shared" si="22"/>
        <v>188</v>
      </c>
      <c r="H78" s="179">
        <f t="shared" si="22"/>
        <v>192.5</v>
      </c>
      <c r="I78" s="153">
        <f t="shared" si="22"/>
        <v>193.5</v>
      </c>
      <c r="J78" s="153">
        <f t="shared" si="22"/>
        <v>193.5</v>
      </c>
      <c r="K78" s="153">
        <f t="shared" si="22"/>
        <v>193.5</v>
      </c>
      <c r="L78" s="153">
        <f t="shared" si="22"/>
        <v>220.60000000000002</v>
      </c>
      <c r="M78" s="153">
        <f t="shared" si="22"/>
        <v>220.60000000000002</v>
      </c>
      <c r="N78" s="154">
        <f t="shared" si="22"/>
        <v>238.8</v>
      </c>
      <c r="P78" s="172"/>
    </row>
    <row r="79" spans="1:16" s="143" customFormat="1" ht="14.25" x14ac:dyDescent="0.2">
      <c r="B79" s="155" t="s">
        <v>245</v>
      </c>
      <c r="C79" s="156" t="s">
        <v>7</v>
      </c>
      <c r="D79" s="157">
        <v>0.7</v>
      </c>
      <c r="H79" s="178"/>
      <c r="N79" s="150"/>
      <c r="P79" s="172"/>
    </row>
    <row r="80" spans="1:16" s="143" customFormat="1" ht="14.25" x14ac:dyDescent="0.2">
      <c r="B80" s="147" t="s">
        <v>246</v>
      </c>
      <c r="C80" s="158" t="s">
        <v>241</v>
      </c>
      <c r="D80" s="160">
        <f t="shared" ref="D80:N80" si="23">D78*$D$79</f>
        <v>112.41999999999999</v>
      </c>
      <c r="E80" s="160">
        <f t="shared" si="23"/>
        <v>121.44999999999997</v>
      </c>
      <c r="F80" s="160">
        <f t="shared" si="23"/>
        <v>121.44999999999997</v>
      </c>
      <c r="G80" s="160">
        <f t="shared" si="23"/>
        <v>131.6</v>
      </c>
      <c r="H80" s="180">
        <f t="shared" si="23"/>
        <v>134.75</v>
      </c>
      <c r="I80" s="160">
        <f t="shared" si="23"/>
        <v>135.44999999999999</v>
      </c>
      <c r="J80" s="160">
        <f t="shared" si="23"/>
        <v>135.44999999999999</v>
      </c>
      <c r="K80" s="160">
        <f t="shared" si="23"/>
        <v>135.44999999999999</v>
      </c>
      <c r="L80" s="160">
        <f t="shared" si="23"/>
        <v>154.42000000000002</v>
      </c>
      <c r="M80" s="160">
        <f t="shared" si="23"/>
        <v>154.42000000000002</v>
      </c>
      <c r="N80" s="161">
        <f t="shared" si="23"/>
        <v>167.16</v>
      </c>
      <c r="P80" s="172"/>
    </row>
    <row r="81" spans="2:16" s="143" customFormat="1" ht="14.25" x14ac:dyDescent="0.2">
      <c r="B81" s="147"/>
      <c r="H81" s="178"/>
      <c r="N81" s="150"/>
      <c r="P81" s="172"/>
    </row>
    <row r="82" spans="2:16" s="143" customFormat="1" ht="14.25" x14ac:dyDescent="0.2">
      <c r="B82" s="147"/>
      <c r="H82" s="178"/>
      <c r="N82" s="150"/>
      <c r="P82" s="172"/>
    </row>
    <row r="83" spans="2:16" s="143" customFormat="1" thickBot="1" x14ac:dyDescent="0.25">
      <c r="B83" s="162" t="s">
        <v>243</v>
      </c>
      <c r="C83" s="163" t="s">
        <v>242</v>
      </c>
      <c r="D83" s="164" t="str">
        <f t="shared" ref="D83:N83" si="24">IF(D75&gt;D80,1,"")</f>
        <v/>
      </c>
      <c r="E83" s="164" t="str">
        <f t="shared" si="24"/>
        <v/>
      </c>
      <c r="F83" s="164" t="str">
        <f t="shared" si="24"/>
        <v/>
      </c>
      <c r="G83" s="164" t="str">
        <f t="shared" si="24"/>
        <v/>
      </c>
      <c r="H83" s="181">
        <f t="shared" si="24"/>
        <v>1</v>
      </c>
      <c r="I83" s="164">
        <f t="shared" si="24"/>
        <v>1</v>
      </c>
      <c r="J83" s="164">
        <f t="shared" si="24"/>
        <v>1</v>
      </c>
      <c r="K83" s="164">
        <f t="shared" si="24"/>
        <v>1</v>
      </c>
      <c r="L83" s="164">
        <f t="shared" si="24"/>
        <v>1</v>
      </c>
      <c r="M83" s="164">
        <f t="shared" si="24"/>
        <v>1</v>
      </c>
      <c r="N83" s="165">
        <f t="shared" si="24"/>
        <v>1</v>
      </c>
      <c r="P83" s="172"/>
    </row>
    <row r="85" spans="2:16" x14ac:dyDescent="0.2">
      <c r="B85" s="166"/>
      <c r="C85" s="132" t="s">
        <v>225</v>
      </c>
      <c r="N85" s="185">
        <f>N75-N80</f>
        <v>62.13506012730582</v>
      </c>
    </row>
  </sheetData>
  <mergeCells count="20">
    <mergeCell ref="A2:C2"/>
    <mergeCell ref="A3:C3"/>
    <mergeCell ref="A7:B7"/>
    <mergeCell ref="A34:C34"/>
    <mergeCell ref="A69:C69"/>
    <mergeCell ref="A23:N23"/>
    <mergeCell ref="F25:K25"/>
    <mergeCell ref="L25:N25"/>
    <mergeCell ref="A27:N27"/>
    <mergeCell ref="D29:N29"/>
    <mergeCell ref="F9:K9"/>
    <mergeCell ref="L9:N9"/>
    <mergeCell ref="A19:N19"/>
    <mergeCell ref="F21:N21"/>
    <mergeCell ref="A11:N11"/>
    <mergeCell ref="D13:H13"/>
    <mergeCell ref="I13:N13"/>
    <mergeCell ref="A15:N15"/>
    <mergeCell ref="E17:J17"/>
    <mergeCell ref="K17:N17"/>
  </mergeCells>
  <hyperlinks>
    <hyperlink ref="P19" r:id="rId1" xr:uid="{6A437D49-8751-475C-BFE1-9232BFC4E1B4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0F4D-9ECF-47DA-A5AE-596067BFE3B9}">
  <dimension ref="A3:G42"/>
  <sheetViews>
    <sheetView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26" sqref="J26"/>
    </sheetView>
  </sheetViews>
  <sheetFormatPr defaultColWidth="8.85546875" defaultRowHeight="15" x14ac:dyDescent="0.25"/>
  <cols>
    <col min="1" max="1" width="8.85546875" style="35"/>
    <col min="2" max="2" width="37.85546875" style="35" customWidth="1"/>
    <col min="3" max="3" width="25" style="35" customWidth="1"/>
    <col min="4" max="4" width="19.7109375" style="35" customWidth="1"/>
    <col min="5" max="5" width="19.7109375" style="103" customWidth="1"/>
    <col min="6" max="6" width="20.5703125" style="35" customWidth="1"/>
    <col min="7" max="7" width="20.5703125" style="103" customWidth="1"/>
    <col min="8" max="16384" width="8.85546875" style="35"/>
  </cols>
  <sheetData>
    <row r="3" spans="1:7" s="36" customFormat="1" ht="26.45" customHeight="1" thickBot="1" x14ac:dyDescent="0.3">
      <c r="A3" s="37" t="s">
        <v>0</v>
      </c>
      <c r="B3" s="37" t="s">
        <v>1</v>
      </c>
      <c r="C3" s="37" t="s">
        <v>2</v>
      </c>
      <c r="D3" s="37">
        <v>2020</v>
      </c>
      <c r="E3" s="37">
        <v>2021</v>
      </c>
      <c r="F3" s="37">
        <v>2026</v>
      </c>
      <c r="G3" s="37">
        <v>2027</v>
      </c>
    </row>
    <row r="4" spans="1:7" ht="15.75" thickTop="1" x14ac:dyDescent="0.25"/>
    <row r="5" spans="1:7" ht="21.6" customHeight="1" x14ac:dyDescent="0.25">
      <c r="A5" s="40">
        <v>1</v>
      </c>
      <c r="B5" s="41" t="s">
        <v>117</v>
      </c>
    </row>
    <row r="6" spans="1:7" x14ac:dyDescent="0.25">
      <c r="A6" s="44" t="s">
        <v>6</v>
      </c>
      <c r="B6" s="2" t="s">
        <v>122</v>
      </c>
      <c r="C6" s="35" t="s">
        <v>21</v>
      </c>
      <c r="D6" s="35" t="s">
        <v>118</v>
      </c>
      <c r="E6" s="103" t="s">
        <v>184</v>
      </c>
      <c r="F6" s="35" t="s">
        <v>119</v>
      </c>
      <c r="G6" s="103" t="s">
        <v>178</v>
      </c>
    </row>
    <row r="7" spans="1:7" x14ac:dyDescent="0.25">
      <c r="A7" s="44" t="s">
        <v>25</v>
      </c>
      <c r="B7" s="2" t="s">
        <v>68</v>
      </c>
      <c r="C7" s="35" t="s">
        <v>21</v>
      </c>
      <c r="D7" s="39"/>
      <c r="E7" s="39"/>
      <c r="F7" s="39"/>
      <c r="G7" s="39"/>
    </row>
    <row r="8" spans="1:7" x14ac:dyDescent="0.25">
      <c r="A8" s="44" t="s">
        <v>27</v>
      </c>
      <c r="B8" s="2" t="s">
        <v>69</v>
      </c>
      <c r="C8" s="35" t="s">
        <v>21</v>
      </c>
      <c r="D8" s="39"/>
      <c r="E8" s="39"/>
      <c r="F8" s="39"/>
      <c r="G8" s="39"/>
    </row>
    <row r="9" spans="1:7" x14ac:dyDescent="0.25">
      <c r="A9" s="44" t="s">
        <v>123</v>
      </c>
      <c r="B9" s="2" t="s">
        <v>15</v>
      </c>
      <c r="C9" s="35" t="s">
        <v>21</v>
      </c>
      <c r="D9" s="39"/>
      <c r="E9" s="39"/>
      <c r="F9" s="39"/>
      <c r="G9" s="39"/>
    </row>
    <row r="10" spans="1:7" x14ac:dyDescent="0.25">
      <c r="B10" s="2"/>
    </row>
    <row r="11" spans="1:7" ht="23.45" customHeight="1" x14ac:dyDescent="0.25">
      <c r="A11" s="40">
        <v>2</v>
      </c>
      <c r="B11" s="42" t="s">
        <v>120</v>
      </c>
    </row>
    <row r="12" spans="1:7" x14ac:dyDescent="0.25">
      <c r="A12" s="44" t="s">
        <v>9</v>
      </c>
      <c r="B12" s="2" t="s">
        <v>122</v>
      </c>
      <c r="C12" s="35" t="s">
        <v>21</v>
      </c>
      <c r="D12" s="39">
        <f>12.3/B38</f>
        <v>27.116402116402117</v>
      </c>
      <c r="E12" s="39">
        <f>'Ср. цены по отраслям'!J6</f>
        <v>35.429045489789608</v>
      </c>
      <c r="F12" s="39">
        <f>14.6/B38</f>
        <v>32.186948853615519</v>
      </c>
      <c r="G12" s="39">
        <f>16.7/B38</f>
        <v>36.816578483245145</v>
      </c>
    </row>
    <row r="13" spans="1:7" x14ac:dyDescent="0.25">
      <c r="A13" s="44" t="s">
        <v>30</v>
      </c>
      <c r="B13" s="2" t="s">
        <v>68</v>
      </c>
      <c r="C13" s="35" t="s">
        <v>21</v>
      </c>
      <c r="D13" s="39">
        <f>'Ср. цены по отраслям'!I7</f>
        <v>57.686654908877131</v>
      </c>
      <c r="E13" s="39">
        <f>'Ср. цены по отраслям'!J7</f>
        <v>82.179973893721538</v>
      </c>
      <c r="F13" s="39">
        <f>'Ср. цены по отраслям'!O7</f>
        <v>83.406819517930629</v>
      </c>
      <c r="G13" s="39">
        <f>'Ср. цены по отраслям'!P7</f>
        <v>83.240756431741005</v>
      </c>
    </row>
    <row r="14" spans="1:7" x14ac:dyDescent="0.25">
      <c r="A14" s="44" t="s">
        <v>76</v>
      </c>
      <c r="B14" s="2" t="s">
        <v>69</v>
      </c>
      <c r="C14" s="35" t="s">
        <v>21</v>
      </c>
      <c r="D14" s="39">
        <f>'Ср. цены по отраслям'!I15</f>
        <v>20.968555956828041</v>
      </c>
      <c r="E14" s="39">
        <f>'Ср. цены по отраслям'!J15</f>
        <v>29.355711895394432</v>
      </c>
      <c r="F14" s="39">
        <f>'Ср. цены по отраслям'!O15</f>
        <v>30.460414994492453</v>
      </c>
      <c r="G14" s="39">
        <f>'Ср. цены по отраслям'!P15</f>
        <v>30.363487965827144</v>
      </c>
    </row>
    <row r="15" spans="1:7" x14ac:dyDescent="0.25">
      <c r="A15" s="44" t="s">
        <v>77</v>
      </c>
      <c r="B15" s="2" t="s">
        <v>15</v>
      </c>
      <c r="C15" s="35" t="s">
        <v>21</v>
      </c>
      <c r="D15" s="39">
        <f>'Ср. цены по отраслям'!I23</f>
        <v>25.329769253380363</v>
      </c>
      <c r="E15" s="39">
        <f>'Ср. цены по отраслям'!J23</f>
        <v>35.500008241441272</v>
      </c>
      <c r="F15" s="39">
        <f>'Ср. цены по отраслям'!O23</f>
        <v>36.609686609686612</v>
      </c>
      <c r="G15" s="39">
        <f>'Ср. цены по отраслям'!P23</f>
        <v>36.464351598451223</v>
      </c>
    </row>
    <row r="16" spans="1:7" x14ac:dyDescent="0.25">
      <c r="B16" s="2"/>
      <c r="D16" s="39"/>
      <c r="E16" s="39"/>
      <c r="F16" s="39"/>
      <c r="G16" s="39"/>
    </row>
    <row r="17" spans="1:7" x14ac:dyDescent="0.25">
      <c r="A17" s="40">
        <v>3</v>
      </c>
      <c r="B17" s="43" t="s">
        <v>131</v>
      </c>
      <c r="D17" s="39"/>
      <c r="E17" s="39"/>
      <c r="F17" s="39"/>
      <c r="G17" s="39"/>
    </row>
    <row r="18" spans="1:7" x14ac:dyDescent="0.25">
      <c r="A18" s="44" t="s">
        <v>12</v>
      </c>
      <c r="B18" s="2" t="s">
        <v>122</v>
      </c>
      <c r="C18" s="35" t="s">
        <v>7</v>
      </c>
      <c r="D18" s="35" t="s">
        <v>121</v>
      </c>
      <c r="E18" s="103" t="s">
        <v>179</v>
      </c>
      <c r="F18" s="35" t="s">
        <v>121</v>
      </c>
      <c r="G18" s="103" t="s">
        <v>121</v>
      </c>
    </row>
    <row r="19" spans="1:7" x14ac:dyDescent="0.25">
      <c r="A19" s="44" t="s">
        <v>34</v>
      </c>
      <c r="B19" s="2" t="s">
        <v>68</v>
      </c>
      <c r="C19" s="35" t="s">
        <v>7</v>
      </c>
      <c r="D19" s="35" t="s">
        <v>126</v>
      </c>
      <c r="E19" s="103" t="s">
        <v>180</v>
      </c>
      <c r="F19" s="35" t="s">
        <v>124</v>
      </c>
      <c r="G19" s="103" t="s">
        <v>124</v>
      </c>
    </row>
    <row r="20" spans="1:7" x14ac:dyDescent="0.25">
      <c r="A20" s="44" t="s">
        <v>87</v>
      </c>
      <c r="B20" s="2" t="s">
        <v>69</v>
      </c>
      <c r="C20" s="35" t="s">
        <v>7</v>
      </c>
      <c r="D20" s="35" t="s">
        <v>127</v>
      </c>
      <c r="E20" s="103" t="s">
        <v>181</v>
      </c>
      <c r="F20" s="35" t="s">
        <v>124</v>
      </c>
      <c r="G20" s="103" t="s">
        <v>124</v>
      </c>
    </row>
    <row r="21" spans="1:7" x14ac:dyDescent="0.25">
      <c r="A21" s="44" t="s">
        <v>88</v>
      </c>
      <c r="B21" s="2" t="s">
        <v>15</v>
      </c>
      <c r="C21" s="35" t="s">
        <v>7</v>
      </c>
      <c r="D21" s="35" t="s">
        <v>128</v>
      </c>
      <c r="E21" s="103" t="s">
        <v>182</v>
      </c>
      <c r="F21" s="35" t="s">
        <v>125</v>
      </c>
      <c r="G21" s="103" t="s">
        <v>125</v>
      </c>
    </row>
    <row r="22" spans="1:7" x14ac:dyDescent="0.25">
      <c r="A22" s="44"/>
      <c r="B22" s="2"/>
    </row>
    <row r="23" spans="1:7" x14ac:dyDescent="0.25">
      <c r="A23" s="45" t="s">
        <v>86</v>
      </c>
      <c r="B23" s="42" t="s">
        <v>129</v>
      </c>
    </row>
    <row r="24" spans="1:7" x14ac:dyDescent="0.25">
      <c r="A24" s="44" t="s">
        <v>14</v>
      </c>
      <c r="B24" s="2" t="s">
        <v>122</v>
      </c>
      <c r="C24" s="35" t="s">
        <v>130</v>
      </c>
      <c r="D24" s="35">
        <v>8.3000000000000007</v>
      </c>
      <c r="E24" s="103">
        <v>11.2</v>
      </c>
      <c r="F24" s="35">
        <v>11.4</v>
      </c>
      <c r="G24" s="103">
        <v>17.899999999999999</v>
      </c>
    </row>
    <row r="25" spans="1:7" x14ac:dyDescent="0.25">
      <c r="A25" s="44" t="s">
        <v>38</v>
      </c>
      <c r="B25" s="2" t="s">
        <v>68</v>
      </c>
      <c r="C25" s="35" t="s">
        <v>130</v>
      </c>
      <c r="D25" s="35">
        <v>2.8</v>
      </c>
      <c r="E25" s="103">
        <v>2.7</v>
      </c>
      <c r="F25" s="35">
        <v>3.6</v>
      </c>
      <c r="G25" s="103">
        <v>4.3</v>
      </c>
    </row>
    <row r="26" spans="1:7" x14ac:dyDescent="0.25">
      <c r="A26" s="44" t="s">
        <v>95</v>
      </c>
      <c r="B26" s="2" t="s">
        <v>69</v>
      </c>
      <c r="C26" s="35" t="s">
        <v>130</v>
      </c>
      <c r="D26" s="35">
        <v>4.4000000000000004</v>
      </c>
      <c r="E26" s="103">
        <v>6.6</v>
      </c>
      <c r="F26" s="35">
        <v>6.1</v>
      </c>
      <c r="G26" s="103">
        <v>10.5</v>
      </c>
    </row>
    <row r="27" spans="1:7" x14ac:dyDescent="0.25">
      <c r="A27" s="44" t="s">
        <v>96</v>
      </c>
      <c r="B27" s="2" t="s">
        <v>15</v>
      </c>
      <c r="C27" s="35" t="s">
        <v>130</v>
      </c>
      <c r="D27" s="35">
        <v>1.2</v>
      </c>
      <c r="E27" s="103">
        <v>1.9</v>
      </c>
      <c r="F27" s="35">
        <v>1.6</v>
      </c>
      <c r="G27" s="103">
        <v>3.1</v>
      </c>
    </row>
    <row r="28" spans="1:7" x14ac:dyDescent="0.25">
      <c r="A28" s="44"/>
      <c r="B28" s="2"/>
    </row>
    <row r="29" spans="1:7" ht="30" x14ac:dyDescent="0.25">
      <c r="A29" s="45" t="s">
        <v>133</v>
      </c>
      <c r="B29" s="42" t="s">
        <v>134</v>
      </c>
    </row>
    <row r="30" spans="1:7" s="48" customFormat="1" x14ac:dyDescent="0.25">
      <c r="A30" s="47" t="s">
        <v>41</v>
      </c>
      <c r="B30" s="2" t="s">
        <v>122</v>
      </c>
      <c r="C30" s="35" t="s">
        <v>21</v>
      </c>
      <c r="D30" s="48" t="s">
        <v>142</v>
      </c>
      <c r="E30" s="104"/>
      <c r="F30" s="48" t="s">
        <v>142</v>
      </c>
      <c r="G30" s="104"/>
    </row>
    <row r="31" spans="1:7" x14ac:dyDescent="0.25">
      <c r="A31" s="47" t="s">
        <v>43</v>
      </c>
      <c r="B31" s="2" t="s">
        <v>68</v>
      </c>
      <c r="C31" s="35" t="s">
        <v>21</v>
      </c>
      <c r="D31" s="35" t="s">
        <v>138</v>
      </c>
      <c r="F31" s="35" t="s">
        <v>139</v>
      </c>
    </row>
    <row r="32" spans="1:7" x14ac:dyDescent="0.25">
      <c r="A32" s="47" t="s">
        <v>135</v>
      </c>
      <c r="B32" s="2" t="s">
        <v>69</v>
      </c>
      <c r="C32" s="35" t="s">
        <v>21</v>
      </c>
      <c r="D32" s="35" t="s">
        <v>137</v>
      </c>
      <c r="F32" s="35" t="s">
        <v>137</v>
      </c>
    </row>
    <row r="33" spans="1:7" x14ac:dyDescent="0.25">
      <c r="A33" s="47" t="s">
        <v>136</v>
      </c>
      <c r="B33" s="2" t="s">
        <v>15</v>
      </c>
      <c r="C33" s="35" t="s">
        <v>21</v>
      </c>
      <c r="D33" s="35" t="s">
        <v>141</v>
      </c>
      <c r="F33" s="35" t="s">
        <v>140</v>
      </c>
    </row>
    <row r="34" spans="1:7" x14ac:dyDescent="0.25">
      <c r="B34" s="2"/>
    </row>
    <row r="35" spans="1:7" ht="30" x14ac:dyDescent="0.25">
      <c r="A35" s="40">
        <v>6</v>
      </c>
      <c r="B35" s="42" t="s">
        <v>132</v>
      </c>
    </row>
    <row r="36" spans="1:7" x14ac:dyDescent="0.25">
      <c r="A36" s="44" t="s">
        <v>62</v>
      </c>
      <c r="B36" s="2" t="s">
        <v>122</v>
      </c>
      <c r="C36" s="35" t="s">
        <v>7</v>
      </c>
      <c r="D36" s="35">
        <v>18.100000000000001</v>
      </c>
      <c r="E36" s="103" t="s">
        <v>183</v>
      </c>
      <c r="F36" s="35">
        <v>19</v>
      </c>
      <c r="G36" s="103">
        <v>19</v>
      </c>
    </row>
    <row r="37" spans="1:7" x14ac:dyDescent="0.25">
      <c r="B37" s="2"/>
    </row>
    <row r="38" spans="1:7" ht="30" x14ac:dyDescent="0.25">
      <c r="A38" s="18" t="s">
        <v>3</v>
      </c>
      <c r="B38" s="2">
        <v>0.4536</v>
      </c>
    </row>
    <row r="39" spans="1:7" x14ac:dyDescent="0.25">
      <c r="B39" s="2"/>
    </row>
    <row r="40" spans="1:7" x14ac:dyDescent="0.25">
      <c r="B40" s="2"/>
    </row>
    <row r="41" spans="1:7" x14ac:dyDescent="0.25">
      <c r="B41" s="2"/>
    </row>
    <row r="42" spans="1:7" x14ac:dyDescent="0.25">
      <c r="B42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6E411-B98C-4C1E-B727-759ED7E3E7EA}">
  <sheetPr>
    <tabColor theme="4" tint="-0.249977111117893"/>
  </sheetPr>
  <dimension ref="A4:S51"/>
  <sheetViews>
    <sheetView view="pageBreakPreview" zoomScale="70" zoomScaleNormal="85" zoomScaleSheetLayoutView="7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Q46" sqref="Q46:S46"/>
    </sheetView>
  </sheetViews>
  <sheetFormatPr defaultColWidth="8.85546875" defaultRowHeight="15" outlineLevelRow="2" x14ac:dyDescent="0.25"/>
  <cols>
    <col min="1" max="1" width="8.85546875" style="1"/>
    <col min="2" max="2" width="33.140625" style="1" customWidth="1"/>
    <col min="3" max="4" width="17.5703125" style="1" customWidth="1"/>
    <col min="5" max="15" width="10.7109375" style="1" customWidth="1"/>
    <col min="16" max="16" width="10.7109375" style="98" customWidth="1"/>
    <col min="17" max="19" width="10.7109375" style="189" customWidth="1"/>
    <col min="20" max="16384" width="8.85546875" style="1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19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5.15" customHeight="1" x14ac:dyDescent="0.25">
      <c r="A6" s="196" t="s">
        <v>23</v>
      </c>
      <c r="B6" s="196"/>
    </row>
    <row r="7" spans="1:19" ht="25.15" customHeight="1" outlineLevel="1" x14ac:dyDescent="0.25">
      <c r="A7" s="3" t="s">
        <v>6</v>
      </c>
      <c r="B7" s="2" t="s">
        <v>4</v>
      </c>
      <c r="C7" s="1" t="s">
        <v>5</v>
      </c>
      <c r="D7" s="7">
        <f>'Рынок УВ Lucinel'!D13</f>
        <v>1054.8</v>
      </c>
      <c r="E7" s="7">
        <f>'Рынок УВ Lucinel'!E13</f>
        <v>1083.9000000000001</v>
      </c>
      <c r="F7" s="7">
        <f>'Рынок УВ Lucinel'!F13</f>
        <v>1117</v>
      </c>
      <c r="G7" s="7">
        <f>'Рынок УВ Lucinel'!G13</f>
        <v>1193.5999999999999</v>
      </c>
      <c r="H7" s="7">
        <f>'Рынок УВ Lucinel'!H13</f>
        <v>1262</v>
      </c>
      <c r="I7" s="7">
        <f>'Рынок УВ Lucinel'!I13</f>
        <v>690.8</v>
      </c>
      <c r="J7" s="7">
        <f>'Рынок УВ Lucinel'!J13</f>
        <v>659.8</v>
      </c>
      <c r="K7" s="7">
        <f>'Рынок УВ Lucinel'!K13</f>
        <v>701.9</v>
      </c>
      <c r="L7" s="7">
        <f>'Рынок УВ Lucinel'!L13</f>
        <v>755.3</v>
      </c>
      <c r="M7" s="7">
        <f>'Рынок УВ Lucinel'!M13</f>
        <v>833.9</v>
      </c>
      <c r="N7" s="7">
        <f>'Рынок УВ Lucinel'!N13</f>
        <v>916</v>
      </c>
      <c r="O7" s="7">
        <f>'Рынок УВ Lucinel'!O13</f>
        <v>998.8</v>
      </c>
      <c r="P7" s="7">
        <f>'Рынок УВ Lucinel'!P13</f>
        <v>1061</v>
      </c>
      <c r="Q7" s="7">
        <f>'Рынок УВ Lucinel'!Q13</f>
        <v>1152.4004314345916</v>
      </c>
      <c r="R7" s="7">
        <f>'Рынок УВ Lucinel'!R13</f>
        <v>1251.6746035538481</v>
      </c>
      <c r="S7" s="7">
        <f>'Рынок УВ Lucinel'!S13</f>
        <v>1359.5008041010142</v>
      </c>
    </row>
    <row r="8" spans="1:19" ht="25.15" customHeight="1" outlineLevel="1" x14ac:dyDescent="0.25">
      <c r="A8" s="3" t="s">
        <v>24</v>
      </c>
      <c r="B8" s="2" t="s">
        <v>19</v>
      </c>
      <c r="C8" s="1" t="s">
        <v>7</v>
      </c>
      <c r="D8" s="191">
        <f>(J7/D7)^(1/6)-1</f>
        <v>-7.5215877030560874E-2</v>
      </c>
      <c r="E8" s="191"/>
      <c r="F8" s="191"/>
      <c r="G8" s="191"/>
      <c r="H8" s="191"/>
      <c r="I8" s="191"/>
      <c r="J8" s="191"/>
      <c r="K8" s="194">
        <f>(P7/K7)^(1/5)-1</f>
        <v>8.614555271874802E-2</v>
      </c>
      <c r="L8" s="194"/>
      <c r="M8" s="194"/>
      <c r="N8" s="194"/>
      <c r="O8" s="194"/>
      <c r="P8" s="194"/>
      <c r="Q8" s="187"/>
      <c r="R8" s="187"/>
      <c r="S8" s="187"/>
    </row>
    <row r="9" spans="1:19" s="9" customFormat="1" ht="25.15" customHeight="1" outlineLevel="1" x14ac:dyDescent="0.25">
      <c r="A9" s="14" t="s">
        <v>25</v>
      </c>
      <c r="B9" s="10" t="s">
        <v>4</v>
      </c>
      <c r="C9" s="9" t="s">
        <v>10</v>
      </c>
      <c r="D9" s="12">
        <f>'Рынок УВ Lucinel'!D15</f>
        <v>17.871839999999999</v>
      </c>
      <c r="E9" s="12">
        <f>'Рынок УВ Lucinel'!E15</f>
        <v>18.824400000000001</v>
      </c>
      <c r="F9" s="12">
        <f>'Рынок УВ Lucinel'!F15</f>
        <v>19.459440000000001</v>
      </c>
      <c r="G9" s="12">
        <f>'Рынок УВ Lucinel'!G15</f>
        <v>20.820239999999998</v>
      </c>
      <c r="H9" s="12">
        <f>'Рынок УВ Lucinel'!H15</f>
        <v>22.090320000000002</v>
      </c>
      <c r="I9" s="12">
        <f>'Рынок УВ Lucinel'!I15</f>
        <v>11.97504</v>
      </c>
      <c r="J9" s="12">
        <f>'Рынок УВ Lucinel'!J15</f>
        <v>8.0287199999999999</v>
      </c>
      <c r="K9" s="12">
        <f>'Рынок УВ Lucinel'!K15</f>
        <v>8.2555199999999989</v>
      </c>
      <c r="L9" s="12">
        <f>'Рынок УВ Lucinel'!L15</f>
        <v>8.9359199999999994</v>
      </c>
      <c r="M9" s="12">
        <f>'Рынок УВ Lucinel'!M15</f>
        <v>9.8884800000000013</v>
      </c>
      <c r="N9" s="12">
        <f>'Рынок УВ Lucinel'!N15</f>
        <v>10.931760000000001</v>
      </c>
      <c r="O9" s="12">
        <f>'Рынок УВ Lucinel'!O15</f>
        <v>11.97504</v>
      </c>
      <c r="P9" s="12">
        <f>'Рынок УВ Lucinel'!P15</f>
        <v>12.746160000000001</v>
      </c>
      <c r="Q9" s="12">
        <f>'Рынок УВ Lucinel'!Q15</f>
        <v>13.902930513467492</v>
      </c>
      <c r="R9" s="12">
        <f>'Рынок УВ Lucinel'!R15</f>
        <v>15.164683078064723</v>
      </c>
      <c r="S9" s="12">
        <f>'Рынок УВ Lucinel'!S15</f>
        <v>16.540945280232645</v>
      </c>
    </row>
    <row r="10" spans="1:19" ht="25.15" customHeight="1" outlineLevel="1" x14ac:dyDescent="0.25">
      <c r="A10" s="3" t="s">
        <v>26</v>
      </c>
      <c r="B10" s="2" t="s">
        <v>16</v>
      </c>
      <c r="C10" s="1" t="s">
        <v>7</v>
      </c>
      <c r="D10" s="191">
        <f>(J9/D9)^(1/6)-1</f>
        <v>-0.12485602454867062</v>
      </c>
      <c r="E10" s="191"/>
      <c r="F10" s="191"/>
      <c r="G10" s="191"/>
      <c r="H10" s="191"/>
      <c r="I10" s="191"/>
      <c r="J10" s="191"/>
      <c r="K10" s="194">
        <f>(P9/K9)^(1/5)-1</f>
        <v>9.075443219506818E-2</v>
      </c>
      <c r="L10" s="194"/>
      <c r="M10" s="194"/>
      <c r="N10" s="194"/>
      <c r="O10" s="194"/>
      <c r="P10" s="194"/>
      <c r="Q10" s="187"/>
      <c r="R10" s="187"/>
      <c r="S10" s="187"/>
    </row>
    <row r="11" spans="1:19" s="9" customFormat="1" ht="25.15" customHeight="1" outlineLevel="1" x14ac:dyDescent="0.25">
      <c r="A11" s="14" t="s">
        <v>27</v>
      </c>
      <c r="B11" s="10" t="s">
        <v>20</v>
      </c>
      <c r="C11" s="9" t="s">
        <v>21</v>
      </c>
      <c r="D11" s="12">
        <f>D7/D9</f>
        <v>59.020223994843285</v>
      </c>
      <c r="E11" s="12">
        <f t="shared" ref="E11:S11" si="4">E7/E9</f>
        <v>57.579524446994327</v>
      </c>
      <c r="F11" s="12">
        <f t="shared" si="4"/>
        <v>57.40144629033518</v>
      </c>
      <c r="G11" s="12">
        <f t="shared" si="4"/>
        <v>57.328830023092912</v>
      </c>
      <c r="H11" s="12">
        <f t="shared" si="4"/>
        <v>57.129095459006471</v>
      </c>
      <c r="I11" s="12">
        <f>I7/I9</f>
        <v>57.686654908877131</v>
      </c>
      <c r="J11" s="12">
        <f>J7/J9</f>
        <v>82.179973893721538</v>
      </c>
      <c r="K11" s="12">
        <f t="shared" si="4"/>
        <v>85.021900498090986</v>
      </c>
      <c r="L11" s="12">
        <f t="shared" si="4"/>
        <v>84.52403333960018</v>
      </c>
      <c r="M11" s="12">
        <f t="shared" si="4"/>
        <v>84.330453214245253</v>
      </c>
      <c r="N11" s="12">
        <f t="shared" si="4"/>
        <v>83.792545756584474</v>
      </c>
      <c r="O11" s="12">
        <f t="shared" si="4"/>
        <v>83.406819517930629</v>
      </c>
      <c r="P11" s="12">
        <f t="shared" si="4"/>
        <v>83.240756431741005</v>
      </c>
      <c r="Q11" s="12">
        <f t="shared" si="4"/>
        <v>82.889030504632402</v>
      </c>
      <c r="R11" s="12">
        <f t="shared" si="4"/>
        <v>82.538790762093754</v>
      </c>
      <c r="S11" s="12">
        <f t="shared" si="4"/>
        <v>82.190030924393042</v>
      </c>
    </row>
    <row r="12" spans="1:19" s="9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9" customFormat="1" ht="25.15" customHeight="1" x14ac:dyDescent="0.25">
      <c r="A13" s="197" t="s">
        <v>28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9" customFormat="1" ht="25.15" customHeight="1" outlineLevel="1" x14ac:dyDescent="0.25">
      <c r="A14" s="14" t="s">
        <v>9</v>
      </c>
      <c r="B14" s="10" t="s">
        <v>4</v>
      </c>
      <c r="C14" s="1" t="s">
        <v>5</v>
      </c>
      <c r="D14" s="9">
        <v>784.6</v>
      </c>
      <c r="E14" s="9">
        <v>810.2</v>
      </c>
      <c r="F14" s="9">
        <v>836.1</v>
      </c>
      <c r="G14" s="9">
        <v>898.8</v>
      </c>
      <c r="H14" s="9">
        <v>956.9</v>
      </c>
      <c r="I14" s="9">
        <v>453.5</v>
      </c>
      <c r="J14" s="9">
        <v>382.4</v>
      </c>
      <c r="K14" s="9">
        <v>402.9</v>
      </c>
      <c r="L14" s="9">
        <v>442.7</v>
      </c>
      <c r="M14" s="9">
        <v>449.1</v>
      </c>
      <c r="N14" s="9">
        <v>551.9</v>
      </c>
      <c r="O14" s="9">
        <v>606.4</v>
      </c>
      <c r="P14" s="97">
        <v>648.1</v>
      </c>
      <c r="Q14" s="12">
        <f>P14*(1+$K$15)</f>
        <v>712.73973667928249</v>
      </c>
      <c r="R14" s="12">
        <f t="shared" ref="R14:S14" si="5">Q14*(1+$K$15)</f>
        <v>783.82646542455325</v>
      </c>
      <c r="S14" s="12">
        <f t="shared" si="5"/>
        <v>862.00319174347908</v>
      </c>
    </row>
    <row r="15" spans="1:19" ht="25.15" customHeight="1" outlineLevel="1" x14ac:dyDescent="0.25">
      <c r="A15" s="3" t="s">
        <v>29</v>
      </c>
      <c r="B15" s="2" t="s">
        <v>19</v>
      </c>
      <c r="C15" s="1" t="s">
        <v>7</v>
      </c>
      <c r="D15" s="191">
        <f>(J14/D14)^(1/6)-1</f>
        <v>-0.11288838953920688</v>
      </c>
      <c r="E15" s="191"/>
      <c r="F15" s="191"/>
      <c r="G15" s="191"/>
      <c r="H15" s="191"/>
      <c r="I15" s="191"/>
      <c r="J15" s="191"/>
      <c r="K15" s="194">
        <f>(P14/K14)^(1/5)-1</f>
        <v>9.9737288503753296E-2</v>
      </c>
      <c r="L15" s="194"/>
      <c r="M15" s="194"/>
      <c r="N15" s="194"/>
      <c r="O15" s="194"/>
      <c r="P15" s="194"/>
      <c r="Q15" s="187"/>
      <c r="R15" s="187"/>
      <c r="S15" s="187"/>
    </row>
    <row r="16" spans="1:19" s="9" customFormat="1" ht="25.15" customHeight="1" outlineLevel="1" x14ac:dyDescent="0.25">
      <c r="A16" s="14" t="s">
        <v>30</v>
      </c>
      <c r="B16" s="10" t="s">
        <v>4</v>
      </c>
      <c r="C16" s="1" t="s">
        <v>10</v>
      </c>
      <c r="D16" s="12">
        <f>29.8*B51</f>
        <v>13.517280000000001</v>
      </c>
      <c r="E16" s="12">
        <f>31.5*B51</f>
        <v>14.288399999999999</v>
      </c>
      <c r="F16" s="12">
        <f>32.6*B51</f>
        <v>14.787360000000001</v>
      </c>
      <c r="G16" s="12">
        <f>35.1*B51</f>
        <v>15.92136</v>
      </c>
      <c r="H16" s="12">
        <f>37.5*B51</f>
        <v>17.010000000000002</v>
      </c>
      <c r="I16" s="12">
        <f>17.8*B51</f>
        <v>8.0740800000000004</v>
      </c>
      <c r="J16" s="12">
        <f>10.6*B51</f>
        <v>4.80816</v>
      </c>
      <c r="K16" s="12">
        <f>11*B51</f>
        <v>4.9896000000000003</v>
      </c>
      <c r="L16" s="12">
        <f>12.1*B51</f>
        <v>5.4885599999999997</v>
      </c>
      <c r="M16" s="12">
        <f>13.7*B51</f>
        <v>6.2143199999999998</v>
      </c>
      <c r="N16" s="12">
        <f>15.2*B51</f>
        <v>6.8947199999999995</v>
      </c>
      <c r="O16" s="12">
        <f>16.8*B51</f>
        <v>7.6204800000000006</v>
      </c>
      <c r="P16" s="12">
        <f>18*B51</f>
        <v>8.1647999999999996</v>
      </c>
      <c r="Q16" s="12">
        <f>P16*(1+$K$17)</f>
        <v>9.0099320353655479</v>
      </c>
      <c r="R16" s="12">
        <f t="shared" ref="R16:S16" si="6">Q16*(1+$K$17)</f>
        <v>9.9425430239450279</v>
      </c>
      <c r="S16" s="12">
        <f t="shared" si="6"/>
        <v>10.971687843479637</v>
      </c>
    </row>
    <row r="17" spans="1:19" s="9" customFormat="1" ht="25.15" customHeight="1" outlineLevel="1" x14ac:dyDescent="0.25">
      <c r="A17" s="14" t="s">
        <v>31</v>
      </c>
      <c r="B17" s="2" t="s">
        <v>17</v>
      </c>
      <c r="C17" s="1" t="s">
        <v>7</v>
      </c>
      <c r="D17" s="191">
        <f>(J16/D16)^(1/6)-1</f>
        <v>-0.15825295548394613</v>
      </c>
      <c r="E17" s="191"/>
      <c r="F17" s="191"/>
      <c r="G17" s="191"/>
      <c r="H17" s="191"/>
      <c r="I17" s="191"/>
      <c r="J17" s="191"/>
      <c r="K17" s="194">
        <f>(P16/K16)^(1/5)-1</f>
        <v>0.10350921459993478</v>
      </c>
      <c r="L17" s="194"/>
      <c r="M17" s="194"/>
      <c r="N17" s="194"/>
      <c r="O17" s="194"/>
      <c r="P17" s="194"/>
      <c r="Q17" s="187"/>
      <c r="R17" s="187"/>
      <c r="S17" s="187"/>
    </row>
    <row r="18" spans="1:19" s="9" customFormat="1" ht="25.15" customHeight="1" x14ac:dyDescent="0.25">
      <c r="A18" s="14"/>
      <c r="B18" s="2"/>
      <c r="C18" s="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9" customFormat="1" ht="25.15" customHeight="1" x14ac:dyDescent="0.25">
      <c r="A19" s="197" t="s">
        <v>32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9" customFormat="1" ht="25.15" customHeight="1" outlineLevel="1" x14ac:dyDescent="0.25">
      <c r="A20" s="14" t="s">
        <v>12</v>
      </c>
      <c r="B20" s="10" t="s">
        <v>4</v>
      </c>
      <c r="C20" s="1" t="s">
        <v>5</v>
      </c>
      <c r="D20" s="9">
        <v>99.5</v>
      </c>
      <c r="E20" s="9">
        <v>101.6</v>
      </c>
      <c r="F20" s="9">
        <v>103.4</v>
      </c>
      <c r="G20" s="9">
        <v>108.6</v>
      </c>
      <c r="H20" s="9">
        <v>112.1</v>
      </c>
      <c r="I20" s="9">
        <v>66.3</v>
      </c>
      <c r="J20" s="9">
        <v>59.2</v>
      </c>
      <c r="K20" s="9">
        <v>63.4</v>
      </c>
      <c r="L20" s="9">
        <v>68.5</v>
      </c>
      <c r="M20" s="9">
        <v>76.3</v>
      </c>
      <c r="N20" s="9">
        <v>83.6</v>
      </c>
      <c r="O20" s="9">
        <v>90.7</v>
      </c>
      <c r="P20" s="97">
        <v>95.8</v>
      </c>
      <c r="Q20" s="12">
        <f>P20*(1+$K$21)</f>
        <v>104.04489094204409</v>
      </c>
      <c r="R20" s="12">
        <f t="shared" ref="R20:S20" si="7">Q20*(1+$K$21)</f>
        <v>112.99936671338047</v>
      </c>
      <c r="S20" s="12">
        <f t="shared" si="7"/>
        <v>122.72449672456908</v>
      </c>
    </row>
    <row r="21" spans="1:19" ht="25.15" customHeight="1" outlineLevel="1" x14ac:dyDescent="0.25">
      <c r="A21" s="3" t="s">
        <v>33</v>
      </c>
      <c r="B21" s="2" t="s">
        <v>19</v>
      </c>
      <c r="C21" s="1" t="s">
        <v>7</v>
      </c>
      <c r="D21" s="191">
        <f>(J20/D20)^(1/6)-1</f>
        <v>-8.2900540136762069E-2</v>
      </c>
      <c r="E21" s="191"/>
      <c r="F21" s="191"/>
      <c r="G21" s="191"/>
      <c r="H21" s="191"/>
      <c r="I21" s="191"/>
      <c r="J21" s="191"/>
      <c r="K21" s="194">
        <f>(P20/K20)^(1/5)-1</f>
        <v>8.6063579770815135E-2</v>
      </c>
      <c r="L21" s="194"/>
      <c r="M21" s="194"/>
      <c r="N21" s="194"/>
      <c r="O21" s="194"/>
      <c r="P21" s="194"/>
      <c r="Q21" s="187"/>
      <c r="R21" s="187"/>
      <c r="S21" s="187"/>
    </row>
    <row r="22" spans="1:19" ht="25.15" customHeight="1" outlineLevel="1" x14ac:dyDescent="0.25">
      <c r="A22" s="3" t="s">
        <v>34</v>
      </c>
      <c r="B22" s="10" t="s">
        <v>4</v>
      </c>
      <c r="C22" s="1" t="s">
        <v>10</v>
      </c>
      <c r="D22" s="12">
        <f>3.7*B51</f>
        <v>1.67832</v>
      </c>
      <c r="E22" s="12">
        <f>3.9*B51</f>
        <v>1.7690399999999999</v>
      </c>
      <c r="F22" s="12">
        <f>4*B51</f>
        <v>1.8144</v>
      </c>
      <c r="G22" s="12">
        <f>4.2*B51</f>
        <v>1.9051200000000001</v>
      </c>
      <c r="H22" s="12">
        <f>4.3*B51</f>
        <v>1.95048</v>
      </c>
      <c r="I22" s="12">
        <f>2.6*B51</f>
        <v>1.17936</v>
      </c>
      <c r="J22" s="12">
        <f>1.6*B51</f>
        <v>0.72576000000000007</v>
      </c>
      <c r="K22" s="12">
        <f>1.7*B51</f>
        <v>0.77112000000000003</v>
      </c>
      <c r="L22" s="12">
        <f>1.8*B51</f>
        <v>0.81647999999999998</v>
      </c>
      <c r="M22" s="12">
        <f>2*B51</f>
        <v>0.90720000000000001</v>
      </c>
      <c r="N22" s="12">
        <f>2.2*B51</f>
        <v>0.99792000000000014</v>
      </c>
      <c r="O22" s="12">
        <f>2.4*B51</f>
        <v>1.0886400000000001</v>
      </c>
      <c r="P22" s="12">
        <f>2.6*B51</f>
        <v>1.17936</v>
      </c>
      <c r="Q22" s="12">
        <f>P22*(1+$K$23)</f>
        <v>1.2839593645906353</v>
      </c>
      <c r="R22" s="12">
        <f t="shared" ref="R22:S22" si="8">Q22*(1+$K$23)</f>
        <v>1.3978358176638075</v>
      </c>
      <c r="S22" s="12">
        <f t="shared" si="8"/>
        <v>1.5218121593488447</v>
      </c>
    </row>
    <row r="23" spans="1:19" s="9" customFormat="1" ht="25.15" customHeight="1" outlineLevel="1" x14ac:dyDescent="0.25">
      <c r="A23" s="14" t="s">
        <v>35</v>
      </c>
      <c r="B23" s="2" t="s">
        <v>17</v>
      </c>
      <c r="C23" s="1" t="s">
        <v>7</v>
      </c>
      <c r="D23" s="191">
        <f>(J22/D22)^(1/6)-1</f>
        <v>-0.1303996422107776</v>
      </c>
      <c r="E23" s="191"/>
      <c r="F23" s="191"/>
      <c r="G23" s="191"/>
      <c r="H23" s="191"/>
      <c r="I23" s="191"/>
      <c r="J23" s="191"/>
      <c r="K23" s="194">
        <f>(P22/K22)^(1/5)-1</f>
        <v>8.8691633250776114E-2</v>
      </c>
      <c r="L23" s="194"/>
      <c r="M23" s="194"/>
      <c r="N23" s="194"/>
      <c r="O23" s="194"/>
      <c r="P23" s="194"/>
      <c r="Q23" s="187"/>
      <c r="R23" s="187"/>
      <c r="S23" s="187"/>
    </row>
    <row r="24" spans="1:19" s="9" customFormat="1" ht="25.15" customHeight="1" x14ac:dyDescent="0.25">
      <c r="A24" s="14"/>
      <c r="B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9" customFormat="1" ht="25.15" customHeight="1" x14ac:dyDescent="0.25">
      <c r="A25" s="198" t="s">
        <v>36</v>
      </c>
      <c r="B25" s="19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9" customFormat="1" ht="25.15" customHeight="1" outlineLevel="1" x14ac:dyDescent="0.25">
      <c r="A26" s="14" t="s">
        <v>14</v>
      </c>
      <c r="B26" s="10" t="s">
        <v>4</v>
      </c>
      <c r="C26" s="1" t="s">
        <v>5</v>
      </c>
      <c r="D26" s="12">
        <v>12.4</v>
      </c>
      <c r="E26" s="12">
        <v>12.6</v>
      </c>
      <c r="F26" s="12">
        <v>12.9</v>
      </c>
      <c r="G26" s="12">
        <v>13.5</v>
      </c>
      <c r="H26" s="12">
        <v>14</v>
      </c>
      <c r="I26" s="12">
        <v>8.4</v>
      </c>
      <c r="J26" s="12">
        <v>7.7</v>
      </c>
      <c r="K26" s="12">
        <v>8.3000000000000007</v>
      </c>
      <c r="L26" s="12">
        <v>9</v>
      </c>
      <c r="M26" s="12">
        <v>9.8000000000000007</v>
      </c>
      <c r="N26" s="12">
        <v>11.1</v>
      </c>
      <c r="O26" s="12">
        <v>12.1</v>
      </c>
      <c r="P26" s="12">
        <v>12.9</v>
      </c>
      <c r="Q26" s="12">
        <f>P26*(1+$K$27)</f>
        <v>14.089384911236058</v>
      </c>
      <c r="R26" s="12">
        <f t="shared" ref="R26:S26" si="9">Q26*(1+$K$27)</f>
        <v>15.388431564105915</v>
      </c>
      <c r="S26" s="12">
        <f t="shared" si="9"/>
        <v>16.807250812938182</v>
      </c>
    </row>
    <row r="27" spans="1:19" ht="25.15" customHeight="1" outlineLevel="1" x14ac:dyDescent="0.25">
      <c r="A27" s="3" t="s">
        <v>37</v>
      </c>
      <c r="B27" s="2" t="s">
        <v>19</v>
      </c>
      <c r="C27" s="1" t="s">
        <v>7</v>
      </c>
      <c r="D27" s="191">
        <f>(J26/D26)^(1/6)-1</f>
        <v>-7.6341339491628357E-2</v>
      </c>
      <c r="E27" s="191"/>
      <c r="F27" s="191"/>
      <c r="G27" s="191"/>
      <c r="H27" s="191"/>
      <c r="I27" s="191"/>
      <c r="J27" s="191"/>
      <c r="K27" s="194">
        <f>(P26/K26)^(1/5)-1</f>
        <v>9.2200380715973473E-2</v>
      </c>
      <c r="L27" s="194"/>
      <c r="M27" s="194"/>
      <c r="N27" s="194"/>
      <c r="O27" s="194"/>
      <c r="P27" s="194"/>
      <c r="Q27" s="187"/>
      <c r="R27" s="187"/>
      <c r="S27" s="187"/>
    </row>
    <row r="28" spans="1:19" ht="25.15" customHeight="1" outlineLevel="1" x14ac:dyDescent="0.25">
      <c r="A28" s="3" t="s">
        <v>38</v>
      </c>
      <c r="B28" s="10" t="s">
        <v>4</v>
      </c>
      <c r="C28" s="1" t="s">
        <v>10</v>
      </c>
      <c r="D28" s="12">
        <f>0.6*B51</f>
        <v>0.27216000000000001</v>
      </c>
      <c r="E28" s="12">
        <f>0.6*B51</f>
        <v>0.27216000000000001</v>
      </c>
      <c r="F28" s="12">
        <f>0.6*B51</f>
        <v>0.27216000000000001</v>
      </c>
      <c r="G28" s="12">
        <f>0.6*B51</f>
        <v>0.27216000000000001</v>
      </c>
      <c r="H28" s="12">
        <f>0.7*B51</f>
        <v>0.31751999999999997</v>
      </c>
      <c r="I28" s="12">
        <f>0.4*B51</f>
        <v>0.18144000000000002</v>
      </c>
      <c r="J28" s="12">
        <f>0.3*B51</f>
        <v>0.13608000000000001</v>
      </c>
      <c r="K28" s="12">
        <f>0.3*B51</f>
        <v>0.13608000000000001</v>
      </c>
      <c r="L28" s="12">
        <f>0.3*B51</f>
        <v>0.13608000000000001</v>
      </c>
      <c r="M28" s="12">
        <f>0.3*B51</f>
        <v>0.13608000000000001</v>
      </c>
      <c r="N28" s="12">
        <f>0.4*B51</f>
        <v>0.18144000000000002</v>
      </c>
      <c r="O28" s="12">
        <f>0.4*B51</f>
        <v>0.18144000000000002</v>
      </c>
      <c r="P28" s="12">
        <f>0.4*B51</f>
        <v>0.18144000000000002</v>
      </c>
      <c r="Q28" s="12">
        <f>P28*(1+$K$29)</f>
        <v>0.1921855737198965</v>
      </c>
      <c r="R28" s="12">
        <f t="shared" ref="R28:S28" si="10">Q28*(1+$K$29)</f>
        <v>0.20356754158975843</v>
      </c>
      <c r="S28" s="12">
        <f t="shared" si="10"/>
        <v>0.21562359331556774</v>
      </c>
    </row>
    <row r="29" spans="1:19" ht="25.15" customHeight="1" outlineLevel="1" x14ac:dyDescent="0.25">
      <c r="A29" s="14" t="s">
        <v>39</v>
      </c>
      <c r="B29" s="2" t="s">
        <v>17</v>
      </c>
      <c r="C29" s="1" t="s">
        <v>7</v>
      </c>
      <c r="D29" s="191">
        <f>(J28/D28)^(1/6)-1</f>
        <v>-0.10910128185966073</v>
      </c>
      <c r="E29" s="191"/>
      <c r="F29" s="191"/>
      <c r="G29" s="191"/>
      <c r="H29" s="191"/>
      <c r="I29" s="191"/>
      <c r="J29" s="191"/>
      <c r="K29" s="194">
        <f>(P28/K28)^(1/5)-1</f>
        <v>5.9223841048812176E-2</v>
      </c>
      <c r="L29" s="194"/>
      <c r="M29" s="194"/>
      <c r="N29" s="194"/>
      <c r="O29" s="194"/>
      <c r="P29" s="194"/>
      <c r="Q29" s="187"/>
      <c r="R29" s="187"/>
      <c r="S29" s="187"/>
    </row>
    <row r="30" spans="1:19" ht="25.15" customHeight="1" x14ac:dyDescent="0.25">
      <c r="A30" s="14"/>
      <c r="B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5.15" customHeight="1" x14ac:dyDescent="0.25">
      <c r="A31" s="198" t="s">
        <v>40</v>
      </c>
      <c r="B31" s="19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9" customFormat="1" ht="25.15" customHeight="1" outlineLevel="1" x14ac:dyDescent="0.25">
      <c r="A32" s="14" t="s">
        <v>41</v>
      </c>
      <c r="B32" s="10" t="s">
        <v>4</v>
      </c>
      <c r="C32" s="1" t="s">
        <v>5</v>
      </c>
      <c r="D32" s="9">
        <v>46.3</v>
      </c>
      <c r="E32" s="9">
        <v>46.8</v>
      </c>
      <c r="F32" s="9">
        <v>48.4</v>
      </c>
      <c r="G32" s="9">
        <v>50.7</v>
      </c>
      <c r="H32" s="9">
        <v>52.5</v>
      </c>
      <c r="I32" s="9">
        <v>36.4</v>
      </c>
      <c r="J32" s="9">
        <v>36.200000000000003</v>
      </c>
      <c r="K32" s="9">
        <v>39.1</v>
      </c>
      <c r="L32" s="9">
        <v>41.2</v>
      </c>
      <c r="M32" s="9">
        <v>44.1</v>
      </c>
      <c r="N32" s="9">
        <v>47.6</v>
      </c>
      <c r="O32" s="9">
        <v>50.8</v>
      </c>
      <c r="P32" s="97">
        <v>53.7</v>
      </c>
      <c r="Q32" s="12">
        <f>P32*(1+$K$33)</f>
        <v>57.218147292030835</v>
      </c>
      <c r="R32" s="12">
        <f t="shared" ref="R32:S32" si="11">Q32*(1+$K$33)</f>
        <v>60.966785466155223</v>
      </c>
      <c r="S32" s="12">
        <f t="shared" si="11"/>
        <v>64.961015097283322</v>
      </c>
    </row>
    <row r="33" spans="1:19" ht="25.15" customHeight="1" outlineLevel="1" x14ac:dyDescent="0.25">
      <c r="A33" s="3" t="s">
        <v>42</v>
      </c>
      <c r="B33" s="2" t="s">
        <v>19</v>
      </c>
      <c r="C33" s="1" t="s">
        <v>7</v>
      </c>
      <c r="D33" s="191">
        <f>(J32/D32)^(1/6)-1</f>
        <v>-4.0184122363177033E-2</v>
      </c>
      <c r="E33" s="191"/>
      <c r="F33" s="191"/>
      <c r="G33" s="191"/>
      <c r="H33" s="191"/>
      <c r="I33" s="191"/>
      <c r="J33" s="191"/>
      <c r="K33" s="194">
        <f>(P32/K32)^(1/5)-1</f>
        <v>6.5514847151412203E-2</v>
      </c>
      <c r="L33" s="194"/>
      <c r="M33" s="194"/>
      <c r="N33" s="194"/>
      <c r="O33" s="194"/>
      <c r="P33" s="194"/>
      <c r="Q33" s="187"/>
      <c r="R33" s="187"/>
      <c r="S33" s="187"/>
    </row>
    <row r="34" spans="1:19" ht="25.15" customHeight="1" outlineLevel="1" x14ac:dyDescent="0.25">
      <c r="A34" s="3" t="s">
        <v>43</v>
      </c>
      <c r="B34" s="10" t="s">
        <v>4</v>
      </c>
      <c r="C34" s="1" t="s">
        <v>10</v>
      </c>
      <c r="D34" s="12">
        <f>1.7*B51</f>
        <v>0.77112000000000003</v>
      </c>
      <c r="E34" s="12">
        <f>1.8*B51</f>
        <v>0.81647999999999998</v>
      </c>
      <c r="F34" s="12">
        <f>1.9*B51</f>
        <v>0.86183999999999994</v>
      </c>
      <c r="G34" s="12">
        <f>1.9*B51</f>
        <v>0.86183999999999994</v>
      </c>
      <c r="H34" s="12">
        <f>2*B51</f>
        <v>0.90720000000000001</v>
      </c>
      <c r="I34" s="12">
        <f>1.4*B51</f>
        <v>0.63503999999999994</v>
      </c>
      <c r="J34" s="12">
        <f>1*B51</f>
        <v>0.4536</v>
      </c>
      <c r="K34" s="12">
        <f>1*B51</f>
        <v>0.4536</v>
      </c>
      <c r="L34" s="12">
        <f>1.1*B51</f>
        <v>0.49896000000000007</v>
      </c>
      <c r="M34" s="12">
        <f>1.2*B51</f>
        <v>0.54432000000000003</v>
      </c>
      <c r="N34" s="12">
        <f>1.2*B51</f>
        <v>0.54432000000000003</v>
      </c>
      <c r="O34" s="12">
        <f>1.3*B51</f>
        <v>0.58967999999999998</v>
      </c>
      <c r="P34" s="12">
        <f>1.4*B51</f>
        <v>0.63503999999999994</v>
      </c>
      <c r="Q34" s="12">
        <f>P34*(1+$K$35)</f>
        <v>0.67924537300044763</v>
      </c>
      <c r="R34" s="12">
        <f t="shared" ref="R34:S34" si="12">Q34*(1+$K$35)</f>
        <v>0.72652789862452327</v>
      </c>
      <c r="S34" s="12">
        <f t="shared" si="12"/>
        <v>0.77710177862252106</v>
      </c>
    </row>
    <row r="35" spans="1:19" ht="25.15" customHeight="1" outlineLevel="1" x14ac:dyDescent="0.25">
      <c r="A35" s="14" t="s">
        <v>44</v>
      </c>
      <c r="B35" s="2" t="s">
        <v>17</v>
      </c>
      <c r="C35" s="1" t="s">
        <v>7</v>
      </c>
      <c r="D35" s="191">
        <f>(J34/D34)^(1/6)-1</f>
        <v>-8.4640177013925899E-2</v>
      </c>
      <c r="E35" s="191"/>
      <c r="F35" s="191"/>
      <c r="G35" s="191"/>
      <c r="H35" s="191"/>
      <c r="I35" s="191"/>
      <c r="J35" s="191"/>
      <c r="K35" s="194">
        <f>(P34/K34)^(1/5)-1</f>
        <v>6.9610375725068785E-2</v>
      </c>
      <c r="L35" s="194"/>
      <c r="M35" s="194"/>
      <c r="N35" s="194"/>
      <c r="O35" s="194"/>
      <c r="P35" s="194"/>
      <c r="Q35" s="187"/>
      <c r="R35" s="187"/>
      <c r="S35" s="187"/>
    </row>
    <row r="36" spans="1:19" ht="25.15" customHeight="1" x14ac:dyDescent="0.25">
      <c r="A36" s="14"/>
      <c r="B36" s="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5.15" customHeight="1" x14ac:dyDescent="0.25">
      <c r="A37" s="198" t="s">
        <v>46</v>
      </c>
      <c r="B37" s="19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9" customFormat="1" ht="25.15" customHeight="1" outlineLevel="1" x14ac:dyDescent="0.25">
      <c r="A38" s="14" t="s">
        <v>41</v>
      </c>
      <c r="B38" s="10" t="s">
        <v>4</v>
      </c>
      <c r="C38" s="1" t="s">
        <v>5</v>
      </c>
      <c r="D38" s="9">
        <v>100</v>
      </c>
      <c r="E38" s="9">
        <v>100.5</v>
      </c>
      <c r="F38" s="9">
        <v>103.7</v>
      </c>
      <c r="G38" s="9">
        <v>108.9</v>
      </c>
      <c r="H38" s="9">
        <v>112.7</v>
      </c>
      <c r="I38" s="9">
        <v>113</v>
      </c>
      <c r="J38" s="9">
        <v>155.4</v>
      </c>
      <c r="K38" s="9">
        <v>166.6</v>
      </c>
      <c r="L38" s="9">
        <v>170.6</v>
      </c>
      <c r="M38" s="9">
        <v>180.8</v>
      </c>
      <c r="N38" s="9">
        <v>197.5</v>
      </c>
      <c r="O38" s="9">
        <v>213.9</v>
      </c>
      <c r="P38" s="97">
        <v>225.2</v>
      </c>
      <c r="Q38" s="12">
        <f>P38*(1+$K$39)</f>
        <v>239.19222791921953</v>
      </c>
      <c r="R38" s="12">
        <f t="shared" ref="R38:S38" si="13">Q38*(1+$K$39)</f>
        <v>254.05382725115393</v>
      </c>
      <c r="S38" s="12">
        <f t="shared" si="13"/>
        <v>269.83881417232698</v>
      </c>
    </row>
    <row r="39" spans="1:19" ht="25.15" customHeight="1" outlineLevel="1" x14ac:dyDescent="0.25">
      <c r="A39" s="3" t="s">
        <v>42</v>
      </c>
      <c r="B39" s="2" t="s">
        <v>19</v>
      </c>
      <c r="C39" s="1" t="s">
        <v>7</v>
      </c>
      <c r="D39" s="191">
        <f>(J38/D38)^(1/6)-1</f>
        <v>7.6238446766988321E-2</v>
      </c>
      <c r="E39" s="191"/>
      <c r="F39" s="191"/>
      <c r="G39" s="191"/>
      <c r="H39" s="191"/>
      <c r="I39" s="191"/>
      <c r="J39" s="191"/>
      <c r="K39" s="194">
        <f>(P38/K38)^(1/5)-1</f>
        <v>6.2132450795823857E-2</v>
      </c>
      <c r="L39" s="194"/>
      <c r="M39" s="194"/>
      <c r="N39" s="194"/>
      <c r="O39" s="194"/>
      <c r="P39" s="194"/>
      <c r="Q39" s="187"/>
      <c r="R39" s="187"/>
      <c r="S39" s="187"/>
    </row>
    <row r="40" spans="1:19" ht="25.15" customHeight="1" outlineLevel="1" x14ac:dyDescent="0.25">
      <c r="A40" s="3" t="s">
        <v>43</v>
      </c>
      <c r="B40" s="10" t="s">
        <v>4</v>
      </c>
      <c r="C40" s="1" t="s">
        <v>10</v>
      </c>
      <c r="D40" s="12">
        <f>3.2*B51</f>
        <v>1.4515200000000001</v>
      </c>
      <c r="E40" s="12">
        <f>3.3*B51</f>
        <v>1.49688</v>
      </c>
      <c r="F40" s="12">
        <f>3.5*B51</f>
        <v>1.5876000000000001</v>
      </c>
      <c r="G40" s="12">
        <f>3.6*B51</f>
        <v>1.63296</v>
      </c>
      <c r="H40" s="12">
        <f>3.8*B51</f>
        <v>1.7236799999999999</v>
      </c>
      <c r="I40" s="12">
        <f>3.8*B51</f>
        <v>1.7236799999999999</v>
      </c>
      <c r="J40" s="12">
        <f>3.7*B51</f>
        <v>1.67832</v>
      </c>
      <c r="K40" s="12">
        <f>3.8*B51</f>
        <v>1.7236799999999999</v>
      </c>
      <c r="L40" s="12">
        <f>3.9*B51</f>
        <v>1.7690399999999999</v>
      </c>
      <c r="M40" s="12">
        <f>4.2*B51</f>
        <v>1.9051200000000001</v>
      </c>
      <c r="N40" s="12">
        <f>4.5*B51</f>
        <v>2.0411999999999999</v>
      </c>
      <c r="O40" s="12">
        <f>4.9*B51</f>
        <v>2.2226400000000002</v>
      </c>
      <c r="P40" s="12">
        <f>5.2*B51</f>
        <v>2.3587199999999999</v>
      </c>
      <c r="Q40" s="12">
        <f>P40*(1+$K$41)</f>
        <v>2.5114257274585254</v>
      </c>
      <c r="R40" s="12">
        <f t="shared" ref="R40:S40" si="14">Q40*(1+$K$41)</f>
        <v>2.6740177657969508</v>
      </c>
      <c r="S40" s="12">
        <f t="shared" si="14"/>
        <v>2.8471361639803061</v>
      </c>
    </row>
    <row r="41" spans="1:19" ht="25.15" customHeight="1" outlineLevel="1" x14ac:dyDescent="0.25">
      <c r="A41" s="14" t="s">
        <v>44</v>
      </c>
      <c r="B41" s="2" t="s">
        <v>17</v>
      </c>
      <c r="C41" s="1" t="s">
        <v>7</v>
      </c>
      <c r="D41" s="191">
        <f>(J40/D40)^(1/6)-1</f>
        <v>2.4492124641327884E-2</v>
      </c>
      <c r="E41" s="191"/>
      <c r="F41" s="191"/>
      <c r="G41" s="191"/>
      <c r="H41" s="191"/>
      <c r="I41" s="191"/>
      <c r="J41" s="191"/>
      <c r="K41" s="194">
        <f>(P40/K40)^(1/5)-1</f>
        <v>6.4740930444701084E-2</v>
      </c>
      <c r="L41" s="194"/>
      <c r="M41" s="194"/>
      <c r="N41" s="194"/>
      <c r="O41" s="194"/>
      <c r="P41" s="194"/>
      <c r="Q41" s="187"/>
      <c r="R41" s="187"/>
      <c r="S41" s="187"/>
    </row>
    <row r="42" spans="1:19" ht="25.15" customHeight="1" x14ac:dyDescent="0.25">
      <c r="A42" s="3"/>
      <c r="B42" s="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25.15" customHeight="1" x14ac:dyDescent="0.25">
      <c r="A43" s="198" t="s">
        <v>45</v>
      </c>
      <c r="B43" s="19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9" customFormat="1" ht="25.15" customHeight="1" outlineLevel="2" x14ac:dyDescent="0.25">
      <c r="A44" s="14" t="s">
        <v>41</v>
      </c>
      <c r="B44" s="10" t="s">
        <v>4</v>
      </c>
      <c r="C44" s="1" t="s">
        <v>5</v>
      </c>
      <c r="D44" s="12">
        <v>12</v>
      </c>
      <c r="E44" s="12">
        <v>12.2</v>
      </c>
      <c r="F44" s="12">
        <v>12.5</v>
      </c>
      <c r="G44" s="12">
        <v>13.1</v>
      </c>
      <c r="H44" s="12">
        <v>13.8</v>
      </c>
      <c r="I44" s="12">
        <v>13.2</v>
      </c>
      <c r="J44" s="12">
        <v>19</v>
      </c>
      <c r="K44" s="12">
        <v>21.5</v>
      </c>
      <c r="L44" s="12">
        <v>23.3</v>
      </c>
      <c r="M44" s="12">
        <v>23.8</v>
      </c>
      <c r="N44" s="12">
        <v>24.4</v>
      </c>
      <c r="O44" s="12">
        <v>24.9</v>
      </c>
      <c r="P44" s="12">
        <v>25.4</v>
      </c>
      <c r="Q44" s="12">
        <f>P44*(1+$K$45)</f>
        <v>26.261091202560859</v>
      </c>
      <c r="R44" s="12">
        <f t="shared" ref="R44:S44" si="15">Q44*(1+$K$45)</f>
        <v>27.151374454693677</v>
      </c>
      <c r="S44" s="12">
        <f t="shared" si="15"/>
        <v>28.071839402739833</v>
      </c>
    </row>
    <row r="45" spans="1:19" ht="25.15" customHeight="1" outlineLevel="2" x14ac:dyDescent="0.25">
      <c r="A45" s="3" t="s">
        <v>42</v>
      </c>
      <c r="B45" s="2" t="s">
        <v>19</v>
      </c>
      <c r="C45" s="1" t="s">
        <v>7</v>
      </c>
      <c r="D45" s="191">
        <f>(J44/D44)^(1/6)-1</f>
        <v>7.9597969707618121E-2</v>
      </c>
      <c r="E45" s="191"/>
      <c r="F45" s="191"/>
      <c r="G45" s="191"/>
      <c r="H45" s="191"/>
      <c r="I45" s="191"/>
      <c r="J45" s="191"/>
      <c r="K45" s="194">
        <f>(P44/K44)^(1/5)-1</f>
        <v>3.3901228447277942E-2</v>
      </c>
      <c r="L45" s="194"/>
      <c r="M45" s="194"/>
      <c r="N45" s="194"/>
      <c r="O45" s="194"/>
      <c r="P45" s="194"/>
      <c r="Q45" s="187"/>
      <c r="R45" s="187"/>
      <c r="S45" s="187"/>
    </row>
    <row r="46" spans="1:19" s="9" customFormat="1" ht="25.15" customHeight="1" outlineLevel="2" x14ac:dyDescent="0.25">
      <c r="A46" s="3" t="s">
        <v>43</v>
      </c>
      <c r="B46" s="10" t="s">
        <v>4</v>
      </c>
      <c r="C46" s="1" t="s">
        <v>10</v>
      </c>
      <c r="D46" s="12">
        <f>0.34*B51</f>
        <v>0.154224</v>
      </c>
      <c r="E46" s="12">
        <f>0.36*$B$51</f>
        <v>0.163296</v>
      </c>
      <c r="F46" s="12">
        <f>0.37*$B$51</f>
        <v>0.16783200000000001</v>
      </c>
      <c r="G46" s="12">
        <f>0.39*$B$51</f>
        <v>0.17690400000000001</v>
      </c>
      <c r="H46" s="12">
        <f>0.41*$B$51</f>
        <v>0.185976</v>
      </c>
      <c r="I46" s="12">
        <f>0.39*$B$51</f>
        <v>0.17690400000000001</v>
      </c>
      <c r="J46" s="12">
        <f>0.4*$B$51</f>
        <v>0.18144000000000002</v>
      </c>
      <c r="K46" s="12">
        <f>0.4*$B$51</f>
        <v>0.18144000000000002</v>
      </c>
      <c r="L46" s="12">
        <f>0.5*$B$51</f>
        <v>0.2268</v>
      </c>
      <c r="M46" s="12">
        <f>0.5*B51</f>
        <v>0.2268</v>
      </c>
      <c r="N46" s="12">
        <f>0.5*B51</f>
        <v>0.2268</v>
      </c>
      <c r="O46" s="12">
        <f>0.5*B51</f>
        <v>0.2268</v>
      </c>
      <c r="P46" s="12">
        <f>0.5*B51</f>
        <v>0.2268</v>
      </c>
      <c r="Q46" s="12">
        <f>P46*(1+$K$47)</f>
        <v>0.23715105052770075</v>
      </c>
      <c r="R46" s="12">
        <f t="shared" ref="R46:S46" si="16">Q46*(1+$K$47)</f>
        <v>0.24797451837033543</v>
      </c>
      <c r="S46" s="12">
        <f t="shared" si="16"/>
        <v>0.25929196444279401</v>
      </c>
    </row>
    <row r="47" spans="1:19" s="9" customFormat="1" ht="25.15" customHeight="1" outlineLevel="2" x14ac:dyDescent="0.25">
      <c r="A47" s="14" t="s">
        <v>44</v>
      </c>
      <c r="B47" s="2" t="s">
        <v>17</v>
      </c>
      <c r="C47" s="1" t="s">
        <v>7</v>
      </c>
      <c r="D47" s="191">
        <f>(J46/D46)^(1/6)-1</f>
        <v>2.745666184905371E-2</v>
      </c>
      <c r="E47" s="191"/>
      <c r="F47" s="191"/>
      <c r="G47" s="191"/>
      <c r="H47" s="191"/>
      <c r="I47" s="191"/>
      <c r="J47" s="191"/>
      <c r="K47" s="194">
        <f>(P46/K46)^(1/5)-1</f>
        <v>4.5639552591273169E-2</v>
      </c>
      <c r="L47" s="194"/>
      <c r="M47" s="194"/>
      <c r="N47" s="194"/>
      <c r="O47" s="194"/>
      <c r="P47" s="194"/>
      <c r="Q47" s="187"/>
      <c r="R47" s="187"/>
      <c r="S47" s="187"/>
    </row>
    <row r="48" spans="1:19" s="9" customFormat="1" ht="30" customHeight="1" x14ac:dyDescent="0.25">
      <c r="P48" s="97"/>
      <c r="Q48" s="188"/>
      <c r="R48" s="188"/>
      <c r="S48" s="188"/>
    </row>
    <row r="49" spans="1:19" s="9" customFormat="1" x14ac:dyDescent="0.25">
      <c r="P49" s="97"/>
      <c r="Q49" s="188"/>
      <c r="R49" s="188"/>
      <c r="S49" s="188"/>
    </row>
    <row r="51" spans="1:19" ht="30" x14ac:dyDescent="0.25">
      <c r="A51" s="1" t="s">
        <v>3</v>
      </c>
      <c r="B51" s="2">
        <v>0.4536</v>
      </c>
    </row>
  </sheetData>
  <mergeCells count="35">
    <mergeCell ref="K47:P47"/>
    <mergeCell ref="D47:J47"/>
    <mergeCell ref="D27:J27"/>
    <mergeCell ref="K33:P33"/>
    <mergeCell ref="D33:J33"/>
    <mergeCell ref="K45:P45"/>
    <mergeCell ref="D45:J45"/>
    <mergeCell ref="K27:P27"/>
    <mergeCell ref="A6:B6"/>
    <mergeCell ref="A25:B25"/>
    <mergeCell ref="A13:B13"/>
    <mergeCell ref="A19:B19"/>
    <mergeCell ref="K8:P8"/>
    <mergeCell ref="D8:J8"/>
    <mergeCell ref="D10:J10"/>
    <mergeCell ref="K10:P10"/>
    <mergeCell ref="K15:P15"/>
    <mergeCell ref="D15:J15"/>
    <mergeCell ref="K17:P17"/>
    <mergeCell ref="D17:J17"/>
    <mergeCell ref="K21:P21"/>
    <mergeCell ref="D21:J21"/>
    <mergeCell ref="K23:P23"/>
    <mergeCell ref="D23:J23"/>
    <mergeCell ref="A43:B43"/>
    <mergeCell ref="K39:P39"/>
    <mergeCell ref="D39:J39"/>
    <mergeCell ref="K35:P35"/>
    <mergeCell ref="D35:J35"/>
    <mergeCell ref="K41:P41"/>
    <mergeCell ref="D41:J41"/>
    <mergeCell ref="K29:P29"/>
    <mergeCell ref="D29:J29"/>
    <mergeCell ref="A31:B31"/>
    <mergeCell ref="A37:B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AC88-0FAE-4DFA-80DB-7F1D797F30DC}">
  <sheetPr>
    <tabColor theme="4" tint="0.39997558519241921"/>
  </sheetPr>
  <dimension ref="A4:S51"/>
  <sheetViews>
    <sheetView view="pageBreakPreview" topLeftCell="A28" zoomScale="85" zoomScaleNormal="100" zoomScaleSheetLayoutView="85" workbookViewId="0">
      <selection activeCell="V45" sqref="V45"/>
    </sheetView>
  </sheetViews>
  <sheetFormatPr defaultColWidth="8.85546875" defaultRowHeight="15" outlineLevelRow="2" x14ac:dyDescent="0.25"/>
  <cols>
    <col min="1" max="1" width="8.85546875" style="1"/>
    <col min="2" max="2" width="40" style="1" customWidth="1"/>
    <col min="3" max="3" width="17.28515625" style="1" customWidth="1"/>
    <col min="4" max="15" width="10.7109375" style="1" customWidth="1"/>
    <col min="16" max="16" width="10.7109375" style="100" customWidth="1"/>
    <col min="17" max="19" width="10.7109375" style="189" customWidth="1"/>
    <col min="20" max="16384" width="8.85546875" style="1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19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5.15" customHeight="1" x14ac:dyDescent="0.25">
      <c r="A6" s="196" t="s">
        <v>23</v>
      </c>
      <c r="B6" s="196"/>
    </row>
    <row r="7" spans="1:19" ht="25.15" customHeight="1" outlineLevel="1" x14ac:dyDescent="0.25">
      <c r="A7" s="3" t="s">
        <v>6</v>
      </c>
      <c r="B7" s="2" t="s">
        <v>4</v>
      </c>
      <c r="C7" s="1" t="s">
        <v>5</v>
      </c>
      <c r="D7" s="7">
        <f>'Рынок УВ Lucinel'!D20</f>
        <v>974.1</v>
      </c>
      <c r="E7" s="7">
        <f>'Рынок УВ Lucinel'!E20</f>
        <v>991.99999999999989</v>
      </c>
      <c r="F7" s="7">
        <f>'Рынок УВ Lucinel'!F20</f>
        <v>1027.7</v>
      </c>
      <c r="G7" s="7">
        <f>'Рынок УВ Lucinel'!G20</f>
        <v>1078.2</v>
      </c>
      <c r="H7" s="7">
        <f>'Рынок УВ Lucinel'!H20</f>
        <v>1179.2</v>
      </c>
      <c r="I7" s="7">
        <f>'Рынок УВ Lucinel'!I20</f>
        <v>1216.5</v>
      </c>
      <c r="J7" s="7">
        <f>'Рынок УВ Lucinel'!J20</f>
        <v>1817.6</v>
      </c>
      <c r="K7" s="7">
        <f>'Рынок УВ Lucinel'!K20</f>
        <v>2119.1999999999998</v>
      </c>
      <c r="L7" s="7">
        <f>'Рынок УВ Lucinel'!L20</f>
        <v>2251.6999999999998</v>
      </c>
      <c r="M7" s="7">
        <f>'Рынок УВ Lucinel'!M20</f>
        <v>2350.9</v>
      </c>
      <c r="N7" s="7">
        <f>'Рынок УВ Lucinel'!N20</f>
        <v>2621.9</v>
      </c>
      <c r="O7" s="7">
        <f>'Рынок УВ Lucinel'!O20</f>
        <v>2723.3</v>
      </c>
      <c r="P7" s="7">
        <f>'Рынок УВ Lucinel'!P20</f>
        <v>2904.7</v>
      </c>
      <c r="Q7" s="7">
        <f>'Рынок УВ Lucinel'!Q20</f>
        <v>3093.763793721957</v>
      </c>
      <c r="R7" s="7">
        <f>'Рынок УВ Lucinel'!R20</f>
        <v>3295.1335460959399</v>
      </c>
      <c r="S7" s="7">
        <f>'Рынок УВ Lucinel'!S20</f>
        <v>3509.61023871321</v>
      </c>
    </row>
    <row r="8" spans="1:19" ht="25.15" customHeight="1" outlineLevel="1" x14ac:dyDescent="0.25">
      <c r="A8" s="3" t="s">
        <v>24</v>
      </c>
      <c r="B8" s="2" t="s">
        <v>19</v>
      </c>
      <c r="C8" s="1" t="s">
        <v>7</v>
      </c>
      <c r="D8" s="191">
        <f>(J7/D7)^(1/6)-1</f>
        <v>0.10955575015252039</v>
      </c>
      <c r="E8" s="191"/>
      <c r="F8" s="191"/>
      <c r="G8" s="191"/>
      <c r="H8" s="191"/>
      <c r="I8" s="191"/>
      <c r="J8" s="191"/>
      <c r="K8" s="194">
        <f>(P7/K7)^(1/5)-1</f>
        <v>6.508892268459987E-2</v>
      </c>
      <c r="L8" s="194"/>
      <c r="M8" s="194"/>
      <c r="N8" s="194"/>
      <c r="O8" s="194"/>
      <c r="P8" s="194"/>
      <c r="Q8" s="187"/>
      <c r="R8" s="187"/>
      <c r="S8" s="187"/>
    </row>
    <row r="9" spans="1:19" s="9" customFormat="1" ht="25.15" customHeight="1" outlineLevel="1" x14ac:dyDescent="0.25">
      <c r="A9" s="14" t="s">
        <v>25</v>
      </c>
      <c r="B9" s="10" t="s">
        <v>4</v>
      </c>
      <c r="C9" s="9" t="s">
        <v>10</v>
      </c>
      <c r="D9" s="12">
        <f>'Рынок УВ Lucinel'!D22</f>
        <v>43.046640000000004</v>
      </c>
      <c r="E9" s="12">
        <f>'Рынок УВ Lucinel'!E22</f>
        <v>45.541440000000001</v>
      </c>
      <c r="F9" s="12">
        <f>'Рынок УВ Lucinel'!F22</f>
        <v>47.401200000000003</v>
      </c>
      <c r="G9" s="12">
        <f>'Рынок УВ Lucinel'!G22</f>
        <v>50.803200000000004</v>
      </c>
      <c r="H9" s="12">
        <f>'Рынок УВ Lucinel'!H22</f>
        <v>55.747440000000005</v>
      </c>
      <c r="I9" s="12">
        <f>'Рынок УВ Lucinel'!I22</f>
        <v>58.015440000000005</v>
      </c>
      <c r="J9" s="12">
        <f>'Рынок УВ Lucinel'!J22</f>
        <v>61.916400000000003</v>
      </c>
      <c r="K9" s="12">
        <f>'Рынок УВ Lucinel'!K22</f>
        <v>68.720399999999998</v>
      </c>
      <c r="L9" s="12">
        <f>'Рынок УВ Lucinel'!L22</f>
        <v>73.165680000000009</v>
      </c>
      <c r="M9" s="12">
        <f>'Рынок УВ Lucinel'!M22</f>
        <v>76.6584</v>
      </c>
      <c r="N9" s="12">
        <f>'Рынок УВ Lucinel'!N22</f>
        <v>85.821119999999993</v>
      </c>
      <c r="O9" s="12">
        <f>'Рынок УВ Lucinel'!O22</f>
        <v>89.404560000000004</v>
      </c>
      <c r="P9" s="12">
        <f>'Рынок УВ Lucinel'!P22</f>
        <v>95.664240000000007</v>
      </c>
      <c r="Q9" s="12">
        <f>'Рынок УВ Lucinel'!Q22</f>
        <v>102.20741750095877</v>
      </c>
      <c r="R9" s="12">
        <f>'Рынок УВ Lucinel'!R22</f>
        <v>109.19813079804211</v>
      </c>
      <c r="S9" s="12">
        <f>'Рынок УВ Lucinel'!S22</f>
        <v>116.66699013967803</v>
      </c>
    </row>
    <row r="10" spans="1:19" ht="25.15" customHeight="1" outlineLevel="1" x14ac:dyDescent="0.25">
      <c r="A10" s="3" t="s">
        <v>26</v>
      </c>
      <c r="B10" s="2" t="s">
        <v>16</v>
      </c>
      <c r="C10" s="1" t="s">
        <v>7</v>
      </c>
      <c r="D10" s="191">
        <f>(J9/D9)^(1/6)-1</f>
        <v>6.2456292856067908E-2</v>
      </c>
      <c r="E10" s="191"/>
      <c r="F10" s="191"/>
      <c r="G10" s="191"/>
      <c r="H10" s="191"/>
      <c r="I10" s="191"/>
      <c r="J10" s="191"/>
      <c r="K10" s="194">
        <f>(P9/K9)^(1/5)-1</f>
        <v>6.839731859008924E-2</v>
      </c>
      <c r="L10" s="194"/>
      <c r="M10" s="194"/>
      <c r="N10" s="194"/>
      <c r="O10" s="194"/>
      <c r="P10" s="194"/>
      <c r="Q10" s="187"/>
      <c r="R10" s="187"/>
      <c r="S10" s="187"/>
    </row>
    <row r="11" spans="1:19" s="9" customFormat="1" ht="25.15" customHeight="1" outlineLevel="1" x14ac:dyDescent="0.25">
      <c r="A11" s="14" t="s">
        <v>27</v>
      </c>
      <c r="B11" s="10" t="s">
        <v>20</v>
      </c>
      <c r="C11" s="9" t="s">
        <v>21</v>
      </c>
      <c r="D11" s="12">
        <f>D7/D9</f>
        <v>22.628943861820574</v>
      </c>
      <c r="E11" s="12">
        <f t="shared" ref="E11:S11" si="4">E7/E9</f>
        <v>21.782359099756174</v>
      </c>
      <c r="F11" s="12">
        <f t="shared" si="4"/>
        <v>21.680885715973435</v>
      </c>
      <c r="G11" s="12">
        <f t="shared" si="4"/>
        <v>21.223072562358276</v>
      </c>
      <c r="H11" s="12">
        <f t="shared" si="4"/>
        <v>21.152540816224025</v>
      </c>
      <c r="I11" s="12">
        <f t="shared" si="4"/>
        <v>20.968555956828041</v>
      </c>
      <c r="J11" s="12">
        <f t="shared" si="4"/>
        <v>29.355711895394432</v>
      </c>
      <c r="K11" s="12">
        <f t="shared" si="4"/>
        <v>30.838004435364169</v>
      </c>
      <c r="L11" s="12">
        <f t="shared" si="4"/>
        <v>30.775358064054071</v>
      </c>
      <c r="M11" s="12">
        <f t="shared" si="4"/>
        <v>30.667219769783873</v>
      </c>
      <c r="N11" s="12">
        <f t="shared" si="4"/>
        <v>30.550754872460303</v>
      </c>
      <c r="O11" s="12">
        <f t="shared" si="4"/>
        <v>30.460414994492453</v>
      </c>
      <c r="P11" s="12">
        <f t="shared" si="4"/>
        <v>30.363487965827144</v>
      </c>
      <c r="Q11" s="12">
        <f t="shared" si="4"/>
        <v>30.269464480823377</v>
      </c>
      <c r="R11" s="12">
        <f t="shared" si="4"/>
        <v>30.175732148658909</v>
      </c>
      <c r="S11" s="12">
        <f t="shared" si="4"/>
        <v>30.082290067750741</v>
      </c>
    </row>
    <row r="12" spans="1:19" s="9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9" customFormat="1" ht="25.15" customHeight="1" x14ac:dyDescent="0.25">
      <c r="A13" s="197" t="s">
        <v>47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9" customFormat="1" ht="25.15" customHeight="1" outlineLevel="1" x14ac:dyDescent="0.25">
      <c r="A14" s="14" t="s">
        <v>9</v>
      </c>
      <c r="B14" s="10" t="s">
        <v>4</v>
      </c>
      <c r="C14" s="1" t="s">
        <v>5</v>
      </c>
      <c r="D14" s="12">
        <v>18</v>
      </c>
      <c r="E14" s="12">
        <v>18.399999999999999</v>
      </c>
      <c r="F14" s="12">
        <v>18.8</v>
      </c>
      <c r="G14" s="12">
        <v>19.8</v>
      </c>
      <c r="H14" s="12">
        <v>20.8</v>
      </c>
      <c r="I14" s="12">
        <v>19.2</v>
      </c>
      <c r="J14" s="12">
        <v>30.8</v>
      </c>
      <c r="K14" s="12">
        <v>34.700000000000003</v>
      </c>
      <c r="L14" s="12">
        <v>36.6</v>
      </c>
      <c r="M14" s="12">
        <v>38.299999999999997</v>
      </c>
      <c r="N14" s="12">
        <v>40.1</v>
      </c>
      <c r="O14" s="12">
        <v>42.1</v>
      </c>
      <c r="P14" s="12">
        <v>44.2</v>
      </c>
      <c r="Q14" s="12">
        <f>P14*(1+$K$15)</f>
        <v>46.391757785016409</v>
      </c>
      <c r="R14" s="12">
        <f t="shared" ref="R14:S14" si="5">Q14*(1+$K$15)</f>
        <v>48.692198877457706</v>
      </c>
      <c r="S14" s="12">
        <f t="shared" si="5"/>
        <v>51.106712586942663</v>
      </c>
    </row>
    <row r="15" spans="1:19" ht="25.15" customHeight="1" outlineLevel="1" x14ac:dyDescent="0.25">
      <c r="A15" s="3" t="s">
        <v>29</v>
      </c>
      <c r="B15" s="2" t="s">
        <v>19</v>
      </c>
      <c r="C15" s="1" t="s">
        <v>7</v>
      </c>
      <c r="D15" s="191">
        <f>(J14/D14)^(1/6)-1</f>
        <v>9.3653386028192731E-2</v>
      </c>
      <c r="E15" s="191"/>
      <c r="F15" s="191"/>
      <c r="G15" s="191"/>
      <c r="H15" s="191"/>
      <c r="I15" s="191"/>
      <c r="J15" s="191"/>
      <c r="K15" s="194">
        <f>(P14/K14)^(1/5)-1</f>
        <v>4.9587280203991169E-2</v>
      </c>
      <c r="L15" s="194"/>
      <c r="M15" s="194"/>
      <c r="N15" s="194"/>
      <c r="O15" s="194"/>
      <c r="P15" s="194"/>
      <c r="Q15" s="187"/>
      <c r="R15" s="187"/>
      <c r="S15" s="187"/>
    </row>
    <row r="16" spans="1:19" s="9" customFormat="1" ht="25.15" customHeight="1" outlineLevel="1" x14ac:dyDescent="0.25">
      <c r="A16" s="14" t="s">
        <v>30</v>
      </c>
      <c r="B16" s="10" t="s">
        <v>4</v>
      </c>
      <c r="C16" s="1" t="s">
        <v>10</v>
      </c>
      <c r="D16" s="12">
        <f>2*B51</f>
        <v>0.90720000000000001</v>
      </c>
      <c r="E16" s="12">
        <f>2.1*B51</f>
        <v>0.95256000000000007</v>
      </c>
      <c r="F16" s="12">
        <f>2.1*B51</f>
        <v>0.95256000000000007</v>
      </c>
      <c r="G16" s="12">
        <f>2.4*B51</f>
        <v>1.0886400000000001</v>
      </c>
      <c r="H16" s="12">
        <f>2.5*B51</f>
        <v>1.1339999999999999</v>
      </c>
      <c r="I16" s="12">
        <f>2.3*B51</f>
        <v>1.04328</v>
      </c>
      <c r="J16" s="12">
        <f>2.6*B51</f>
        <v>1.17936</v>
      </c>
      <c r="K16" s="12">
        <f>2.8*B51</f>
        <v>1.2700799999999999</v>
      </c>
      <c r="L16" s="12">
        <f>3*B51</f>
        <v>1.3608</v>
      </c>
      <c r="M16" s="12">
        <f>3.1*B51</f>
        <v>1.4061600000000001</v>
      </c>
      <c r="N16" s="12">
        <f>3.3*B51</f>
        <v>1.49688</v>
      </c>
      <c r="O16" s="12">
        <f>3.5*B51</f>
        <v>1.5876000000000001</v>
      </c>
      <c r="P16" s="12">
        <f>3.7*B51</f>
        <v>1.67832</v>
      </c>
      <c r="Q16" s="12">
        <f>P16*(1+$K$17)</f>
        <v>1.7745306644606909</v>
      </c>
      <c r="R16" s="12">
        <f t="shared" ref="R16:S16" si="6">Q16*(1+$K$17)</f>
        <v>1.8762566608938112</v>
      </c>
      <c r="S16" s="12">
        <f t="shared" si="6"/>
        <v>1.9838141588938294</v>
      </c>
    </row>
    <row r="17" spans="1:19" s="9" customFormat="1" ht="25.15" customHeight="1" outlineLevel="1" x14ac:dyDescent="0.25">
      <c r="A17" s="14" t="s">
        <v>31</v>
      </c>
      <c r="B17" s="2" t="s">
        <v>17</v>
      </c>
      <c r="C17" s="1" t="s">
        <v>7</v>
      </c>
      <c r="D17" s="191">
        <f>(J16/D16)^(1/6)-1</f>
        <v>4.4697507923277202E-2</v>
      </c>
      <c r="E17" s="191"/>
      <c r="F17" s="191"/>
      <c r="G17" s="191"/>
      <c r="H17" s="191"/>
      <c r="I17" s="191"/>
      <c r="J17" s="191"/>
      <c r="K17" s="194">
        <f>(P16/K16)^(1/5)-1</f>
        <v>5.732557823340656E-2</v>
      </c>
      <c r="L17" s="194"/>
      <c r="M17" s="194"/>
      <c r="N17" s="194"/>
      <c r="O17" s="194"/>
      <c r="P17" s="194"/>
      <c r="Q17" s="187"/>
      <c r="R17" s="187"/>
      <c r="S17" s="187"/>
    </row>
    <row r="18" spans="1:19" s="9" customFormat="1" ht="25.15" customHeight="1" x14ac:dyDescent="0.25">
      <c r="A18" s="14"/>
      <c r="B18" s="2"/>
      <c r="C18" s="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9" customFormat="1" ht="25.15" customHeight="1" x14ac:dyDescent="0.25">
      <c r="A19" s="197" t="s">
        <v>48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9" customFormat="1" ht="25.15" customHeight="1" outlineLevel="1" x14ac:dyDescent="0.25">
      <c r="A20" s="14" t="s">
        <v>12</v>
      </c>
      <c r="B20" s="10" t="s">
        <v>4</v>
      </c>
      <c r="C20" s="1" t="s">
        <v>5</v>
      </c>
      <c r="D20" s="12">
        <v>384</v>
      </c>
      <c r="E20" s="12">
        <v>384.8</v>
      </c>
      <c r="F20" s="12">
        <v>400.5</v>
      </c>
      <c r="G20" s="12">
        <v>436</v>
      </c>
      <c r="H20" s="12">
        <v>498.9</v>
      </c>
      <c r="I20" s="12">
        <v>608.79999999999995</v>
      </c>
      <c r="J20" s="12">
        <v>900.9</v>
      </c>
      <c r="K20" s="12">
        <v>1043.4000000000001</v>
      </c>
      <c r="L20" s="12">
        <v>1101.5999999999999</v>
      </c>
      <c r="M20" s="12">
        <v>1136.8</v>
      </c>
      <c r="N20" s="12">
        <v>1345.3</v>
      </c>
      <c r="O20" s="12">
        <v>1385.5</v>
      </c>
      <c r="P20" s="12">
        <v>1504.3</v>
      </c>
      <c r="Q20" s="12">
        <f>P20*(1+$K$21)</f>
        <v>1618.4943219244524</v>
      </c>
      <c r="R20" s="12">
        <f t="shared" ref="R20:S20" si="7">Q20*(1+$K$21)</f>
        <v>1741.3573556482702</v>
      </c>
      <c r="S20" s="12">
        <f t="shared" si="7"/>
        <v>1873.5471598471745</v>
      </c>
    </row>
    <row r="21" spans="1:19" ht="25.15" customHeight="1" outlineLevel="1" x14ac:dyDescent="0.25">
      <c r="A21" s="3" t="s">
        <v>33</v>
      </c>
      <c r="B21" s="2" t="s">
        <v>19</v>
      </c>
      <c r="C21" s="1" t="s">
        <v>7</v>
      </c>
      <c r="D21" s="191">
        <f>(J20/D20)^(1/6)-1</f>
        <v>0.15272105835391181</v>
      </c>
      <c r="E21" s="191"/>
      <c r="F21" s="191"/>
      <c r="G21" s="191"/>
      <c r="H21" s="191"/>
      <c r="I21" s="191"/>
      <c r="J21" s="191"/>
      <c r="K21" s="194">
        <f>(P20/K20)^(1/5)-1</f>
        <v>7.5911933739581494E-2</v>
      </c>
      <c r="L21" s="194"/>
      <c r="M21" s="194"/>
      <c r="N21" s="194"/>
      <c r="O21" s="194"/>
      <c r="P21" s="194"/>
      <c r="Q21" s="187"/>
      <c r="R21" s="187"/>
      <c r="S21" s="187"/>
    </row>
    <row r="22" spans="1:19" ht="25.15" customHeight="1" outlineLevel="1" x14ac:dyDescent="0.25">
      <c r="A22" s="3" t="s">
        <v>34</v>
      </c>
      <c r="B22" s="10" t="s">
        <v>4</v>
      </c>
      <c r="C22" s="1" t="s">
        <v>10</v>
      </c>
      <c r="D22" s="12">
        <f>38*B51</f>
        <v>17.236799999999999</v>
      </c>
      <c r="E22" s="12">
        <f>39.3*B51</f>
        <v>17.82648</v>
      </c>
      <c r="F22" s="12">
        <f>41*B51</f>
        <v>18.5976</v>
      </c>
      <c r="G22" s="12">
        <f>46.7*B51</f>
        <v>21.183120000000002</v>
      </c>
      <c r="H22" s="12">
        <f>53.8*B51</f>
        <v>24.403679999999998</v>
      </c>
      <c r="I22" s="12">
        <f>65.9*B51</f>
        <v>29.892240000000001</v>
      </c>
      <c r="J22" s="12">
        <f>69.7*B51</f>
        <v>31.615920000000003</v>
      </c>
      <c r="K22" s="12">
        <f>76.9*B51</f>
        <v>34.881840000000004</v>
      </c>
      <c r="L22" s="12">
        <f>81.4*B51</f>
        <v>36.92304</v>
      </c>
      <c r="M22" s="12">
        <f>84.2*B51</f>
        <v>38.19312</v>
      </c>
      <c r="N22" s="12">
        <f>100*B51</f>
        <v>45.36</v>
      </c>
      <c r="O22" s="12">
        <f>103.3*B51</f>
        <v>46.856879999999997</v>
      </c>
      <c r="P22" s="12">
        <f>112.5*B51</f>
        <v>51.03</v>
      </c>
      <c r="Q22" s="12">
        <f>P22*(1+$K$23)</f>
        <v>55.064386495924396</v>
      </c>
      <c r="R22" s="12">
        <f t="shared" ref="R22:S22" si="8">Q22*(1+$K$23)</f>
        <v>59.417728006516576</v>
      </c>
      <c r="S22" s="12">
        <f t="shared" si="8"/>
        <v>64.115240832070157</v>
      </c>
    </row>
    <row r="23" spans="1:19" s="9" customFormat="1" ht="25.15" customHeight="1" outlineLevel="1" x14ac:dyDescent="0.25">
      <c r="A23" s="14" t="s">
        <v>35</v>
      </c>
      <c r="B23" s="2" t="s">
        <v>17</v>
      </c>
      <c r="C23" s="1" t="s">
        <v>7</v>
      </c>
      <c r="D23" s="191">
        <f>(J22/D22)^(1/6)-1</f>
        <v>0.10638988567481378</v>
      </c>
      <c r="E23" s="191"/>
      <c r="F23" s="191"/>
      <c r="G23" s="191"/>
      <c r="H23" s="191"/>
      <c r="I23" s="191"/>
      <c r="J23" s="191"/>
      <c r="K23" s="194">
        <f>(P22/K22)^(1/5)-1</f>
        <v>7.9059112207023219E-2</v>
      </c>
      <c r="L23" s="194"/>
      <c r="M23" s="194"/>
      <c r="N23" s="194"/>
      <c r="O23" s="194"/>
      <c r="P23" s="194"/>
      <c r="Q23" s="187"/>
      <c r="R23" s="187"/>
      <c r="S23" s="187"/>
    </row>
    <row r="24" spans="1:19" s="9" customFormat="1" ht="25.15" customHeight="1" x14ac:dyDescent="0.25">
      <c r="A24" s="14"/>
      <c r="B24" s="10"/>
      <c r="D24" s="11"/>
      <c r="E24" s="11"/>
      <c r="F24" s="11"/>
      <c r="G24" s="11"/>
      <c r="H24" s="11"/>
      <c r="I24" s="11"/>
      <c r="J24" s="11">
        <f>J22/'УВ регионы мира'!J9</f>
        <v>0.39692482915717547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s="9" customFormat="1" ht="25.15" customHeight="1" x14ac:dyDescent="0.25">
      <c r="A25" s="198" t="s">
        <v>49</v>
      </c>
      <c r="B25" s="19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9" customFormat="1" ht="25.15" customHeight="1" outlineLevel="1" x14ac:dyDescent="0.25">
      <c r="A26" s="14" t="s">
        <v>14</v>
      </c>
      <c r="B26" s="10" t="s">
        <v>4</v>
      </c>
      <c r="C26" s="1" t="s">
        <v>5</v>
      </c>
      <c r="D26" s="12">
        <v>335.5</v>
      </c>
      <c r="E26" s="12">
        <v>345.9</v>
      </c>
      <c r="F26" s="12">
        <v>359.1</v>
      </c>
      <c r="G26" s="12">
        <v>362.7</v>
      </c>
      <c r="H26" s="12">
        <v>388.5</v>
      </c>
      <c r="I26" s="12">
        <v>322.5</v>
      </c>
      <c r="J26" s="12">
        <v>460.5</v>
      </c>
      <c r="K26" s="12">
        <v>553.6</v>
      </c>
      <c r="L26" s="12">
        <v>598.4</v>
      </c>
      <c r="M26" s="12">
        <v>598.4</v>
      </c>
      <c r="N26" s="12">
        <v>598.4</v>
      </c>
      <c r="O26" s="12">
        <v>701.6</v>
      </c>
      <c r="P26" s="12">
        <v>736.2</v>
      </c>
      <c r="Q26" s="12">
        <f>P26*(1+$K$27)</f>
        <v>779.39166932521198</v>
      </c>
      <c r="R26" s="12">
        <f t="shared" ref="R26:S26" si="9">Q26*(1+$K$27)</f>
        <v>825.11732438677063</v>
      </c>
      <c r="S26" s="12">
        <f t="shared" si="9"/>
        <v>873.52563005020045</v>
      </c>
    </row>
    <row r="27" spans="1:19" ht="25.15" customHeight="1" outlineLevel="1" x14ac:dyDescent="0.25">
      <c r="A27" s="3" t="s">
        <v>37</v>
      </c>
      <c r="B27" s="2" t="s">
        <v>19</v>
      </c>
      <c r="C27" s="1" t="s">
        <v>7</v>
      </c>
      <c r="D27" s="191">
        <f>(J26/D26)^(1/6)-1</f>
        <v>5.4199611114442936E-2</v>
      </c>
      <c r="E27" s="191"/>
      <c r="F27" s="191"/>
      <c r="G27" s="191"/>
      <c r="H27" s="191"/>
      <c r="I27" s="191"/>
      <c r="J27" s="191"/>
      <c r="K27" s="194">
        <f>(P26/K26)^(1/5)-1</f>
        <v>5.8668390824792027E-2</v>
      </c>
      <c r="L27" s="194"/>
      <c r="M27" s="194"/>
      <c r="N27" s="194"/>
      <c r="O27" s="194"/>
      <c r="P27" s="194"/>
      <c r="Q27" s="187"/>
      <c r="R27" s="187"/>
      <c r="S27" s="187"/>
    </row>
    <row r="28" spans="1:19" ht="25.15" customHeight="1" outlineLevel="1" x14ac:dyDescent="0.25">
      <c r="A28" s="3" t="s">
        <v>38</v>
      </c>
      <c r="B28" s="10" t="s">
        <v>4</v>
      </c>
      <c r="C28" s="1" t="s">
        <v>10</v>
      </c>
      <c r="D28" s="12">
        <f>32.6*B51</f>
        <v>14.787360000000001</v>
      </c>
      <c r="E28" s="12">
        <f>34.6*B51</f>
        <v>15.694560000000001</v>
      </c>
      <c r="F28" s="12">
        <f>36*B51</f>
        <v>16.329599999999999</v>
      </c>
      <c r="G28" s="12">
        <f>36.4*B51</f>
        <v>16.511039999999998</v>
      </c>
      <c r="H28" s="12">
        <f>39.1*B51</f>
        <v>17.735759999999999</v>
      </c>
      <c r="I28" s="12">
        <f>32.5*B51</f>
        <v>14.742000000000001</v>
      </c>
      <c r="J28" s="12">
        <f>33.1*B51</f>
        <v>15.01416</v>
      </c>
      <c r="K28" s="12">
        <f>37.9*B51</f>
        <v>17.19144</v>
      </c>
      <c r="L28" s="12">
        <f>41.1*B51</f>
        <v>18.642960000000002</v>
      </c>
      <c r="M28" s="12">
        <f>43.7*B51</f>
        <v>19.822320000000001</v>
      </c>
      <c r="N28" s="12">
        <f>46.1*B51</f>
        <v>20.910959999999999</v>
      </c>
      <c r="O28" s="12">
        <f>48.6*B51</f>
        <v>22.04496</v>
      </c>
      <c r="P28" s="12">
        <f>51.2*B51</f>
        <v>23.224320000000002</v>
      </c>
      <c r="Q28" s="12">
        <f>P28*(1+$K$29)</f>
        <v>24.664320606569454</v>
      </c>
      <c r="R28" s="12">
        <f t="shared" ref="R28:S28" si="10">Q28*(1+$K$29)</f>
        <v>26.193607002644061</v>
      </c>
      <c r="S28" s="12">
        <f t="shared" si="10"/>
        <v>27.817715263813785</v>
      </c>
    </row>
    <row r="29" spans="1:19" ht="25.15" customHeight="1" outlineLevel="1" x14ac:dyDescent="0.25">
      <c r="A29" s="14" t="s">
        <v>39</v>
      </c>
      <c r="B29" s="2" t="s">
        <v>17</v>
      </c>
      <c r="C29" s="1" t="s">
        <v>7</v>
      </c>
      <c r="D29" s="191">
        <f>(J28/D28)^(1/6)-1</f>
        <v>2.5400528169057246E-3</v>
      </c>
      <c r="E29" s="191"/>
      <c r="F29" s="191"/>
      <c r="G29" s="191"/>
      <c r="H29" s="191"/>
      <c r="I29" s="191"/>
      <c r="J29" s="191"/>
      <c r="K29" s="194">
        <f>(P28/K28)^(1/5)-1</f>
        <v>6.2003994371824467E-2</v>
      </c>
      <c r="L29" s="194"/>
      <c r="M29" s="194"/>
      <c r="N29" s="194"/>
      <c r="O29" s="194"/>
      <c r="P29" s="194"/>
      <c r="Q29" s="187"/>
      <c r="R29" s="187"/>
      <c r="S29" s="187"/>
    </row>
    <row r="30" spans="1:19" ht="25.15" customHeight="1" x14ac:dyDescent="0.25">
      <c r="A30" s="14"/>
      <c r="B30" s="2"/>
      <c r="D30" s="11"/>
      <c r="E30" s="11"/>
      <c r="F30" s="11"/>
      <c r="G30" s="11"/>
      <c r="H30" s="11"/>
      <c r="I30" s="11"/>
      <c r="J30" s="11">
        <f>J28/'Рынок УВ Lucinel'!J8</f>
        <v>0.18849658314350798</v>
      </c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5.15" customHeight="1" x14ac:dyDescent="0.25">
      <c r="A31" s="198" t="s">
        <v>50</v>
      </c>
      <c r="B31" s="19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9" customFormat="1" ht="25.15" customHeight="1" outlineLevel="1" x14ac:dyDescent="0.25">
      <c r="A32" s="14" t="s">
        <v>41</v>
      </c>
      <c r="B32" s="10" t="s">
        <v>4</v>
      </c>
      <c r="C32" s="1" t="s">
        <v>5</v>
      </c>
      <c r="D32" s="12">
        <v>68.900000000000006</v>
      </c>
      <c r="E32" s="12">
        <v>70</v>
      </c>
      <c r="F32" s="12">
        <v>72</v>
      </c>
      <c r="G32" s="12">
        <v>75.3</v>
      </c>
      <c r="H32" s="12">
        <v>79.599999999999994</v>
      </c>
      <c r="I32" s="12">
        <v>79.900000000000006</v>
      </c>
      <c r="J32" s="12">
        <v>126.3</v>
      </c>
      <c r="K32" s="12">
        <v>142.9</v>
      </c>
      <c r="L32" s="12">
        <v>150.80000000000001</v>
      </c>
      <c r="M32" s="12">
        <v>157.9</v>
      </c>
      <c r="N32" s="12">
        <v>164</v>
      </c>
      <c r="O32" s="12">
        <v>169.5</v>
      </c>
      <c r="P32" s="12">
        <v>174.8</v>
      </c>
      <c r="Q32" s="12">
        <f>P32*(1+$K$33)</f>
        <v>181.9882162094145</v>
      </c>
      <c r="R32" s="12">
        <f t="shared" ref="R32:S32" si="11">Q32*(1+$K$33)</f>
        <v>189.47202997187986</v>
      </c>
      <c r="S32" s="12">
        <f t="shared" si="11"/>
        <v>197.26359700319873</v>
      </c>
    </row>
    <row r="33" spans="1:19" ht="25.15" customHeight="1" outlineLevel="1" x14ac:dyDescent="0.25">
      <c r="A33" s="3" t="s">
        <v>42</v>
      </c>
      <c r="B33" s="2" t="s">
        <v>19</v>
      </c>
      <c r="C33" s="1" t="s">
        <v>7</v>
      </c>
      <c r="D33" s="191">
        <f>(J32/D32)^(1/6)-1</f>
        <v>0.10627735187098097</v>
      </c>
      <c r="E33" s="191"/>
      <c r="F33" s="191"/>
      <c r="G33" s="191"/>
      <c r="H33" s="191"/>
      <c r="I33" s="191"/>
      <c r="J33" s="191"/>
      <c r="K33" s="194">
        <f>(P32/K32)^(1/5)-1</f>
        <v>4.1122518360494853E-2</v>
      </c>
      <c r="L33" s="194"/>
      <c r="M33" s="194"/>
      <c r="N33" s="194"/>
      <c r="O33" s="194"/>
      <c r="P33" s="194"/>
      <c r="Q33" s="187"/>
      <c r="R33" s="187"/>
      <c r="S33" s="187"/>
    </row>
    <row r="34" spans="1:19" ht="25.15" customHeight="1" outlineLevel="1" x14ac:dyDescent="0.25">
      <c r="A34" s="3" t="s">
        <v>43</v>
      </c>
      <c r="B34" s="10" t="s">
        <v>4</v>
      </c>
      <c r="C34" s="1" t="s">
        <v>10</v>
      </c>
      <c r="D34" s="12">
        <f>5.9*B51</f>
        <v>2.6762400000000004</v>
      </c>
      <c r="E34" s="12">
        <f>6.2*B51</f>
        <v>2.8123200000000002</v>
      </c>
      <c r="F34" s="12">
        <f>6.4*B51</f>
        <v>2.9030400000000003</v>
      </c>
      <c r="G34" s="12">
        <f>6.7*B51</f>
        <v>3.03912</v>
      </c>
      <c r="H34" s="12">
        <f>7*B51</f>
        <v>3.1752000000000002</v>
      </c>
      <c r="I34" s="12">
        <f>7.1*B51</f>
        <v>3.2205599999999999</v>
      </c>
      <c r="J34" s="12">
        <f>8*B51</f>
        <v>3.6288</v>
      </c>
      <c r="K34" s="12">
        <f>8.6*B51</f>
        <v>3.90096</v>
      </c>
      <c r="L34" s="12">
        <f>9.1*B51</f>
        <v>4.1277599999999994</v>
      </c>
      <c r="M34" s="12">
        <f>9.6*B51</f>
        <v>4.3545600000000002</v>
      </c>
      <c r="N34" s="12">
        <f>10*B51</f>
        <v>4.5359999999999996</v>
      </c>
      <c r="O34" s="12">
        <f>10.3*B51</f>
        <v>4.6720800000000002</v>
      </c>
      <c r="P34" s="12">
        <f>10.7*B51</f>
        <v>4.8535199999999996</v>
      </c>
      <c r="Q34" s="12">
        <f>P34*(1+$K$35)</f>
        <v>5.0703027130715608</v>
      </c>
      <c r="R34" s="12">
        <f t="shared" ref="R34:S34" si="12">Q34*(1+$K$35)</f>
        <v>5.2967680368435346</v>
      </c>
      <c r="S34" s="12">
        <f t="shared" si="12"/>
        <v>5.5333484456061788</v>
      </c>
    </row>
    <row r="35" spans="1:19" ht="25.15" customHeight="1" outlineLevel="1" x14ac:dyDescent="0.25">
      <c r="A35" s="14" t="s">
        <v>44</v>
      </c>
      <c r="B35" s="2" t="s">
        <v>17</v>
      </c>
      <c r="C35" s="1" t="s">
        <v>7</v>
      </c>
      <c r="D35" s="191">
        <f>(J34/D34)^(1/6)-1</f>
        <v>5.2057950117477603E-2</v>
      </c>
      <c r="E35" s="191"/>
      <c r="F35" s="191"/>
      <c r="G35" s="191"/>
      <c r="H35" s="191"/>
      <c r="I35" s="191"/>
      <c r="J35" s="191"/>
      <c r="K35" s="194">
        <f>(P34/K34)^(1/5)-1</f>
        <v>4.4665049916670974E-2</v>
      </c>
      <c r="L35" s="194"/>
      <c r="M35" s="194"/>
      <c r="N35" s="194"/>
      <c r="O35" s="194"/>
      <c r="P35" s="194"/>
      <c r="Q35" s="187"/>
      <c r="R35" s="187"/>
      <c r="S35" s="187"/>
    </row>
    <row r="36" spans="1:19" ht="25.15" customHeight="1" x14ac:dyDescent="0.25">
      <c r="A36" s="14"/>
      <c r="B36" s="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5.15" customHeight="1" x14ac:dyDescent="0.25">
      <c r="A37" s="198" t="s">
        <v>52</v>
      </c>
      <c r="B37" s="19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9" customFormat="1" ht="25.15" customHeight="1" outlineLevel="1" x14ac:dyDescent="0.25">
      <c r="A38" s="14" t="s">
        <v>41</v>
      </c>
      <c r="B38" s="10" t="s">
        <v>4</v>
      </c>
      <c r="C38" s="1" t="s">
        <v>5</v>
      </c>
      <c r="D38" s="9">
        <v>91.2</v>
      </c>
      <c r="E38" s="9">
        <v>94.4</v>
      </c>
      <c r="F38" s="9">
        <v>96.9</v>
      </c>
      <c r="G38" s="9">
        <v>100.7</v>
      </c>
      <c r="H38" s="9">
        <v>104.4</v>
      </c>
      <c r="I38" s="9">
        <v>107.2</v>
      </c>
      <c r="J38" s="9">
        <v>177.8</v>
      </c>
      <c r="K38" s="9">
        <v>204.3</v>
      </c>
      <c r="L38" s="9">
        <v>213.8</v>
      </c>
      <c r="M38" s="9">
        <v>222.6</v>
      </c>
      <c r="N38" s="9">
        <v>231.5</v>
      </c>
      <c r="O38" s="9">
        <v>240.5</v>
      </c>
      <c r="P38" s="99">
        <v>249.3</v>
      </c>
      <c r="Q38" s="12">
        <f>P38*(1+$K$39)</f>
        <v>259.42573800793446</v>
      </c>
      <c r="R38" s="12">
        <f t="shared" ref="R38:S38" si="13">Q38*(1+$K$39)</f>
        <v>269.9627498634635</v>
      </c>
      <c r="S38" s="12">
        <f t="shared" si="13"/>
        <v>280.92774014432581</v>
      </c>
    </row>
    <row r="39" spans="1:19" ht="25.15" customHeight="1" outlineLevel="1" x14ac:dyDescent="0.25">
      <c r="A39" s="3" t="s">
        <v>42</v>
      </c>
      <c r="B39" s="2" t="s">
        <v>19</v>
      </c>
      <c r="C39" s="1" t="s">
        <v>7</v>
      </c>
      <c r="D39" s="191">
        <f>(J38/D38)^(1/6)-1</f>
        <v>0.1176937430477718</v>
      </c>
      <c r="E39" s="191"/>
      <c r="F39" s="191"/>
      <c r="G39" s="191"/>
      <c r="H39" s="191"/>
      <c r="I39" s="191"/>
      <c r="J39" s="191"/>
      <c r="K39" s="194">
        <f>(P38/K38)^(1/5)-1</f>
        <v>4.0616678732187994E-2</v>
      </c>
      <c r="L39" s="194"/>
      <c r="M39" s="194"/>
      <c r="N39" s="194"/>
      <c r="O39" s="194"/>
      <c r="P39" s="194"/>
      <c r="Q39" s="187"/>
      <c r="R39" s="187"/>
      <c r="S39" s="187"/>
    </row>
    <row r="40" spans="1:19" ht="25.15" customHeight="1" outlineLevel="1" x14ac:dyDescent="0.25">
      <c r="A40" s="3" t="s">
        <v>43</v>
      </c>
      <c r="B40" s="10" t="s">
        <v>4</v>
      </c>
      <c r="C40" s="1" t="s">
        <v>10</v>
      </c>
      <c r="D40" s="12">
        <f>9.8*B51</f>
        <v>4.4452800000000003</v>
      </c>
      <c r="E40" s="12">
        <f>10.4*B51</f>
        <v>4.7174399999999999</v>
      </c>
      <c r="F40" s="12">
        <f>10.8*B51</f>
        <v>4.8988800000000001</v>
      </c>
      <c r="G40" s="12">
        <f>11.2*B51</f>
        <v>5.0803199999999995</v>
      </c>
      <c r="H40" s="12">
        <f>11.6*B51</f>
        <v>5.2617599999999998</v>
      </c>
      <c r="I40" s="12">
        <f>12*B51</f>
        <v>5.4432</v>
      </c>
      <c r="J40" s="12">
        <f>14.2*B51</f>
        <v>6.4411199999999997</v>
      </c>
      <c r="K40" s="12">
        <f>15.5*B51</f>
        <v>7.0308000000000002</v>
      </c>
      <c r="L40" s="12">
        <f>16.3*B51</f>
        <v>7.3936800000000007</v>
      </c>
      <c r="M40" s="12">
        <f>17*B51</f>
        <v>7.7111999999999998</v>
      </c>
      <c r="N40" s="12">
        <f>17.8*B51</f>
        <v>8.0740800000000004</v>
      </c>
      <c r="O40" s="12">
        <f>18.5*B51</f>
        <v>8.3916000000000004</v>
      </c>
      <c r="P40" s="12">
        <f>19.3*B51</f>
        <v>8.7544800000000009</v>
      </c>
      <c r="Q40" s="12">
        <f>P40*(1+$K$41)</f>
        <v>9.1469325600135036</v>
      </c>
      <c r="R40" s="12">
        <f t="shared" ref="R40:S40" si="14">Q40*(1+$K$41)</f>
        <v>9.5569782851106151</v>
      </c>
      <c r="S40" s="12">
        <f t="shared" si="14"/>
        <v>9.9854058552215879</v>
      </c>
    </row>
    <row r="41" spans="1:19" ht="25.15" customHeight="1" outlineLevel="1" x14ac:dyDescent="0.25">
      <c r="A41" s="14" t="s">
        <v>44</v>
      </c>
      <c r="B41" s="2" t="s">
        <v>17</v>
      </c>
      <c r="C41" s="1" t="s">
        <v>7</v>
      </c>
      <c r="D41" s="191">
        <f>(J40/D40)^(1/6)-1</f>
        <v>6.3760136433045567E-2</v>
      </c>
      <c r="E41" s="191"/>
      <c r="F41" s="191"/>
      <c r="G41" s="191"/>
      <c r="H41" s="191"/>
      <c r="I41" s="191"/>
      <c r="J41" s="191"/>
      <c r="K41" s="194">
        <f>(P40/K40)^(1/5)-1</f>
        <v>4.482876881476705E-2</v>
      </c>
      <c r="L41" s="194"/>
      <c r="M41" s="194"/>
      <c r="N41" s="194"/>
      <c r="O41" s="194"/>
      <c r="P41" s="194"/>
      <c r="Q41" s="187"/>
      <c r="R41" s="187"/>
      <c r="S41" s="187"/>
    </row>
    <row r="42" spans="1:19" ht="25.15" customHeight="1" x14ac:dyDescent="0.25">
      <c r="A42" s="3"/>
      <c r="B42" s="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25.15" customHeight="1" x14ac:dyDescent="0.25">
      <c r="A43" s="198" t="s">
        <v>51</v>
      </c>
      <c r="B43" s="19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9" customFormat="1" ht="25.15" customHeight="1" outlineLevel="2" x14ac:dyDescent="0.25">
      <c r="A44" s="14" t="s">
        <v>41</v>
      </c>
      <c r="B44" s="10" t="s">
        <v>4</v>
      </c>
      <c r="C44" s="1" t="s">
        <v>5</v>
      </c>
      <c r="D44" s="12">
        <v>76.5</v>
      </c>
      <c r="E44" s="12">
        <v>78.5</v>
      </c>
      <c r="F44" s="12">
        <v>80.400000000000006</v>
      </c>
      <c r="G44" s="12">
        <v>83.7</v>
      </c>
      <c r="H44" s="12">
        <v>87</v>
      </c>
      <c r="I44" s="12">
        <v>79</v>
      </c>
      <c r="J44" s="12">
        <v>121.4</v>
      </c>
      <c r="K44" s="12">
        <v>140.30000000000001</v>
      </c>
      <c r="L44" s="12">
        <v>150.5</v>
      </c>
      <c r="M44" s="12">
        <v>161.30000000000001</v>
      </c>
      <c r="N44" s="12">
        <v>172.9</v>
      </c>
      <c r="O44" s="12">
        <v>184.1</v>
      </c>
      <c r="P44" s="12">
        <v>195.9</v>
      </c>
      <c r="Q44" s="12">
        <f>P44*(1+$K$45)</f>
        <v>209.42560994681074</v>
      </c>
      <c r="R44" s="12">
        <f t="shared" ref="R44:S44" si="15">Q44*(1+$K$45)</f>
        <v>223.88507453595562</v>
      </c>
      <c r="S44" s="12">
        <f t="shared" si="15"/>
        <v>239.34287030464364</v>
      </c>
    </row>
    <row r="45" spans="1:19" ht="25.15" customHeight="1" outlineLevel="2" x14ac:dyDescent="0.25">
      <c r="A45" s="3" t="s">
        <v>42</v>
      </c>
      <c r="B45" s="2" t="s">
        <v>19</v>
      </c>
      <c r="C45" s="1" t="s">
        <v>7</v>
      </c>
      <c r="D45" s="191">
        <f>(J44/D44)^(1/6)-1</f>
        <v>8.0006100392933766E-2</v>
      </c>
      <c r="E45" s="191"/>
      <c r="F45" s="191"/>
      <c r="G45" s="191"/>
      <c r="H45" s="191"/>
      <c r="I45" s="191"/>
      <c r="J45" s="191"/>
      <c r="K45" s="194">
        <f>(P44/K44)^(1/5)-1</f>
        <v>6.9043440259370703E-2</v>
      </c>
      <c r="L45" s="194"/>
      <c r="M45" s="194"/>
      <c r="N45" s="194"/>
      <c r="O45" s="194"/>
      <c r="P45" s="194"/>
      <c r="Q45" s="187"/>
      <c r="R45" s="187"/>
      <c r="S45" s="187"/>
    </row>
    <row r="46" spans="1:19" s="9" customFormat="1" ht="25.15" customHeight="1" outlineLevel="2" x14ac:dyDescent="0.25">
      <c r="A46" s="3" t="s">
        <v>43</v>
      </c>
      <c r="B46" s="10" t="s">
        <v>4</v>
      </c>
      <c r="C46" s="1" t="s">
        <v>10</v>
      </c>
      <c r="D46" s="12">
        <f>6.6*B51</f>
        <v>2.99376</v>
      </c>
      <c r="E46" s="12">
        <f>7.8*B51</f>
        <v>3.5380799999999999</v>
      </c>
      <c r="F46" s="12">
        <f>8.2*B51</f>
        <v>3.7195199999999997</v>
      </c>
      <c r="G46" s="12">
        <f>8.6*B51</f>
        <v>3.90096</v>
      </c>
      <c r="H46" s="12">
        <f>9*B51</f>
        <v>4.0823999999999998</v>
      </c>
      <c r="I46" s="12">
        <f>8.2*B51</f>
        <v>3.7195199999999997</v>
      </c>
      <c r="J46" s="12">
        <f>8.9*B51</f>
        <v>4.0370400000000002</v>
      </c>
      <c r="K46" s="12">
        <f>9.7*B51</f>
        <v>4.3999199999999998</v>
      </c>
      <c r="L46" s="12">
        <f>10.4*B51</f>
        <v>4.7174399999999999</v>
      </c>
      <c r="M46" s="12">
        <f>11.3*B51</f>
        <v>5.12568</v>
      </c>
      <c r="N46" s="12">
        <f>12*B51</f>
        <v>5.4432</v>
      </c>
      <c r="O46" s="12">
        <f>12.9*B51</f>
        <v>5.8514400000000002</v>
      </c>
      <c r="P46" s="12">
        <f>13.7*B51</f>
        <v>6.2143199999999998</v>
      </c>
      <c r="Q46" s="12">
        <f>P46*(1+$K$47)</f>
        <v>6.6586069481568968</v>
      </c>
      <c r="R46" s="12">
        <f t="shared" ref="R46:S46" si="16">Q46*(1+$K$47)</f>
        <v>7.1346577726997165</v>
      </c>
      <c r="S46" s="12">
        <f t="shared" si="16"/>
        <v>7.6447434020166227</v>
      </c>
    </row>
    <row r="47" spans="1:19" s="9" customFormat="1" ht="25.15" customHeight="1" outlineLevel="2" x14ac:dyDescent="0.25">
      <c r="A47" s="14" t="s">
        <v>44</v>
      </c>
      <c r="B47" s="2" t="s">
        <v>17</v>
      </c>
      <c r="C47" s="1" t="s">
        <v>7</v>
      </c>
      <c r="D47" s="191">
        <f>(J46/D46)^(1/6)-1</f>
        <v>5.1092680624535092E-2</v>
      </c>
      <c r="E47" s="191"/>
      <c r="F47" s="191"/>
      <c r="G47" s="191"/>
      <c r="H47" s="191"/>
      <c r="I47" s="191"/>
      <c r="J47" s="191"/>
      <c r="K47" s="194">
        <f>(P46/K46)^(1/5)-1</f>
        <v>7.1494056977577047E-2</v>
      </c>
      <c r="L47" s="194"/>
      <c r="M47" s="194"/>
      <c r="N47" s="194"/>
      <c r="O47" s="194"/>
      <c r="P47" s="194"/>
      <c r="Q47" s="187"/>
      <c r="R47" s="187"/>
      <c r="S47" s="187"/>
    </row>
    <row r="48" spans="1:19" s="9" customFormat="1" ht="30" customHeight="1" x14ac:dyDescent="0.25">
      <c r="P48" s="99"/>
      <c r="Q48" s="188"/>
      <c r="R48" s="188"/>
      <c r="S48" s="188"/>
    </row>
    <row r="49" spans="1:19" s="9" customFormat="1" x14ac:dyDescent="0.25">
      <c r="P49" s="99"/>
      <c r="Q49" s="188"/>
      <c r="R49" s="188"/>
      <c r="S49" s="188"/>
    </row>
    <row r="51" spans="1:19" ht="30" x14ac:dyDescent="0.25">
      <c r="A51" s="1" t="s">
        <v>3</v>
      </c>
      <c r="B51" s="2">
        <v>0.4536</v>
      </c>
    </row>
  </sheetData>
  <mergeCells count="35">
    <mergeCell ref="A6:B6"/>
    <mergeCell ref="K8:P8"/>
    <mergeCell ref="D8:J8"/>
    <mergeCell ref="K10:P10"/>
    <mergeCell ref="D10:J10"/>
    <mergeCell ref="A13:B13"/>
    <mergeCell ref="K15:P15"/>
    <mergeCell ref="D15:J15"/>
    <mergeCell ref="K17:P17"/>
    <mergeCell ref="D17:J17"/>
    <mergeCell ref="A19:B19"/>
    <mergeCell ref="K21:P21"/>
    <mergeCell ref="D21:J21"/>
    <mergeCell ref="K23:P23"/>
    <mergeCell ref="D23:J23"/>
    <mergeCell ref="A25:B25"/>
    <mergeCell ref="K27:P27"/>
    <mergeCell ref="D27:J27"/>
    <mergeCell ref="K29:P29"/>
    <mergeCell ref="D29:J29"/>
    <mergeCell ref="A31:B31"/>
    <mergeCell ref="K33:P33"/>
    <mergeCell ref="D33:J33"/>
    <mergeCell ref="K35:P35"/>
    <mergeCell ref="D35:J35"/>
    <mergeCell ref="A37:B37"/>
    <mergeCell ref="K39:P39"/>
    <mergeCell ref="D39:J39"/>
    <mergeCell ref="K41:P41"/>
    <mergeCell ref="D41:J41"/>
    <mergeCell ref="A43:B43"/>
    <mergeCell ref="K45:P45"/>
    <mergeCell ref="D45:J45"/>
    <mergeCell ref="K47:P47"/>
    <mergeCell ref="D47:J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31AE-436A-451E-93DB-65CF725AFDA0}">
  <sheetPr>
    <tabColor theme="4" tint="0.59999389629810485"/>
  </sheetPr>
  <dimension ref="A4:S46"/>
  <sheetViews>
    <sheetView view="pageBreakPreview" topLeftCell="A25" zoomScale="85" zoomScaleNormal="100" zoomScaleSheetLayoutView="85" workbookViewId="0">
      <selection activeCell="W41" sqref="W41"/>
    </sheetView>
  </sheetViews>
  <sheetFormatPr defaultColWidth="8.85546875" defaultRowHeight="15" outlineLevelRow="1" x14ac:dyDescent="0.25"/>
  <cols>
    <col min="1" max="1" width="8.85546875" style="1"/>
    <col min="2" max="2" width="40" style="1" customWidth="1"/>
    <col min="3" max="3" width="17.28515625" style="1" customWidth="1"/>
    <col min="4" max="15" width="10.7109375" style="1" customWidth="1"/>
    <col min="16" max="16" width="10.7109375" style="102" customWidth="1"/>
    <col min="17" max="19" width="10.7109375" style="189" customWidth="1"/>
    <col min="20" max="16384" width="8.85546875" style="1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19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5.15" customHeight="1" x14ac:dyDescent="0.25">
      <c r="A6" s="196" t="s">
        <v>23</v>
      </c>
      <c r="B6" s="196"/>
    </row>
    <row r="7" spans="1:19" ht="25.15" customHeight="1" outlineLevel="1" x14ac:dyDescent="0.25">
      <c r="A7" s="3" t="s">
        <v>6</v>
      </c>
      <c r="B7" s="2" t="s">
        <v>4</v>
      </c>
      <c r="C7" s="1" t="s">
        <v>5</v>
      </c>
      <c r="D7" s="7">
        <f>'Рынок УВ Lucinel'!D27</f>
        <v>207.1</v>
      </c>
      <c r="E7" s="7">
        <f>'Рынок УВ Lucinel'!E27</f>
        <v>208.7</v>
      </c>
      <c r="F7" s="7">
        <f>'Рынок УВ Lucinel'!F27</f>
        <v>213.4</v>
      </c>
      <c r="G7" s="7">
        <f>'Рынок УВ Lucinel'!G27</f>
        <v>219.7</v>
      </c>
      <c r="H7" s="7">
        <f>'Рынок УВ Lucinel'!H27</f>
        <v>233.6</v>
      </c>
      <c r="I7" s="7">
        <f>'Рынок УВ Lucinel'!I27</f>
        <v>220.6</v>
      </c>
      <c r="J7" s="7">
        <f>'Рынок УВ Lucinel'!J27</f>
        <v>344.6</v>
      </c>
      <c r="K7" s="7">
        <f>'Рынок УВ Lucinel'!K27</f>
        <v>397.1</v>
      </c>
      <c r="L7" s="7">
        <f>'Рынок УВ Lucinel'!L27</f>
        <v>432.5</v>
      </c>
      <c r="M7" s="7">
        <f>'Рынок УВ Lucinel'!M27</f>
        <v>468.6</v>
      </c>
      <c r="N7" s="7">
        <f>'Рынок УВ Lucinel'!N27</f>
        <v>503.6</v>
      </c>
      <c r="O7" s="7">
        <f>'Рынок УВ Lucinel'!O27</f>
        <v>539.70000000000005</v>
      </c>
      <c r="P7" s="7">
        <f>'Рынок УВ Lucinel'!P27</f>
        <v>575.6</v>
      </c>
      <c r="Q7" s="7">
        <f>'Рынок УВ Lucinel'!Q27</f>
        <v>619.96184907038491</v>
      </c>
      <c r="R7" s="7">
        <f>'Рынок УВ Lucinel'!R27</f>
        <v>667.74269336826046</v>
      </c>
      <c r="S7" s="7">
        <f>'Рынок УВ Lucinel'!S27</f>
        <v>719.20603697676484</v>
      </c>
    </row>
    <row r="8" spans="1:19" ht="25.15" customHeight="1" outlineLevel="1" x14ac:dyDescent="0.25">
      <c r="A8" s="3" t="s">
        <v>24</v>
      </c>
      <c r="B8" s="2" t="s">
        <v>19</v>
      </c>
      <c r="C8" s="1" t="s">
        <v>7</v>
      </c>
      <c r="D8" s="191">
        <f>(J7/D7)^(1/6)-1</f>
        <v>8.856874920725577E-2</v>
      </c>
      <c r="E8" s="191"/>
      <c r="F8" s="191"/>
      <c r="G8" s="191"/>
      <c r="H8" s="191"/>
      <c r="I8" s="191"/>
      <c r="J8" s="191"/>
      <c r="K8" s="194">
        <f>(P7/K7)^(1/5)-1</f>
        <v>7.7070620344657614E-2</v>
      </c>
      <c r="L8" s="194"/>
      <c r="M8" s="194"/>
      <c r="N8" s="194"/>
      <c r="O8" s="194"/>
      <c r="P8" s="194"/>
      <c r="Q8" s="187"/>
      <c r="R8" s="187"/>
      <c r="S8" s="187"/>
    </row>
    <row r="9" spans="1:19" s="9" customFormat="1" ht="25.15" customHeight="1" outlineLevel="1" x14ac:dyDescent="0.25">
      <c r="A9" s="14" t="s">
        <v>25</v>
      </c>
      <c r="B9" s="10" t="s">
        <v>4</v>
      </c>
      <c r="C9" s="9" t="s">
        <v>10</v>
      </c>
      <c r="D9" s="12">
        <f>'Рынок УВ Lucinel'!D29</f>
        <v>7.3936800000000007</v>
      </c>
      <c r="E9" s="12">
        <f>'Рынок УВ Lucinel'!E29</f>
        <v>7.8472800000000005</v>
      </c>
      <c r="F9" s="12">
        <f>'Рынок УВ Lucinel'!F29</f>
        <v>8.0740800000000004</v>
      </c>
      <c r="G9" s="12">
        <f>'Рынок УВ Lucinel'!G29</f>
        <v>8.6183999999999994</v>
      </c>
      <c r="H9" s="12">
        <f>'Рынок УВ Lucinel'!H29</f>
        <v>9.2534399999999994</v>
      </c>
      <c r="I9" s="12">
        <f>'Рынок УВ Lucinel'!I29</f>
        <v>8.7091200000000004</v>
      </c>
      <c r="J9" s="12">
        <f>'Рынок УВ Lucinel'!J29</f>
        <v>9.7070399999999992</v>
      </c>
      <c r="K9" s="12">
        <f>'Рынок УВ Lucinel'!K29</f>
        <v>10.704960000000002</v>
      </c>
      <c r="L9" s="12">
        <f>'Рынок УВ Lucinel'!L29</f>
        <v>11.70288</v>
      </c>
      <c r="M9" s="12">
        <f>'Рынок УВ Lucinel'!M29</f>
        <v>12.700800000000001</v>
      </c>
      <c r="N9" s="12">
        <f>'Рынок УВ Lucinel'!N29</f>
        <v>13.69872</v>
      </c>
      <c r="O9" s="12">
        <f>'Рынок УВ Lucinel'!O29</f>
        <v>14.742000000000001</v>
      </c>
      <c r="P9" s="12">
        <f>'Рынок УВ Lucinel'!P29</f>
        <v>15.785279999999998</v>
      </c>
      <c r="Q9" s="12">
        <f>'Рынок УВ Lucinel'!Q29</f>
        <v>17.060263631890095</v>
      </c>
      <c r="R9" s="12">
        <f>'Рынок УВ Lucinel'!R29</f>
        <v>18.438228222089936</v>
      </c>
      <c r="S9" s="12">
        <f>'Рынок УВ Lucinel'!S29</f>
        <v>19.927491585439757</v>
      </c>
    </row>
    <row r="10" spans="1:19" ht="25.15" customHeight="1" outlineLevel="1" x14ac:dyDescent="0.25">
      <c r="A10" s="3" t="s">
        <v>26</v>
      </c>
      <c r="B10" s="2" t="s">
        <v>16</v>
      </c>
      <c r="C10" s="1" t="s">
        <v>7</v>
      </c>
      <c r="D10" s="191">
        <f>(J9/D9)^(1/6)-1</f>
        <v>4.6415975840423007E-2</v>
      </c>
      <c r="E10" s="191"/>
      <c r="F10" s="191"/>
      <c r="G10" s="191"/>
      <c r="H10" s="191"/>
      <c r="I10" s="191"/>
      <c r="J10" s="191"/>
      <c r="K10" s="194">
        <f>(P9/K9)^(1/5)-1</f>
        <v>8.077041597552248E-2</v>
      </c>
      <c r="L10" s="194"/>
      <c r="M10" s="194"/>
      <c r="N10" s="194"/>
      <c r="O10" s="194"/>
      <c r="P10" s="194"/>
      <c r="Q10" s="187"/>
      <c r="R10" s="187"/>
      <c r="S10" s="187"/>
    </row>
    <row r="11" spans="1:19" s="9" customFormat="1" ht="25.15" customHeight="1" outlineLevel="1" x14ac:dyDescent="0.25">
      <c r="A11" s="14" t="s">
        <v>27</v>
      </c>
      <c r="B11" s="10" t="s">
        <v>20</v>
      </c>
      <c r="C11" s="9" t="s">
        <v>21</v>
      </c>
      <c r="D11" s="12">
        <f>D7/D9</f>
        <v>28.010408889754491</v>
      </c>
      <c r="E11" s="12">
        <f t="shared" ref="E11:S11" si="4">E7/E9</f>
        <v>26.595202414084877</v>
      </c>
      <c r="F11" s="12">
        <f t="shared" si="4"/>
        <v>26.430255831004896</v>
      </c>
      <c r="G11" s="12">
        <f t="shared" si="4"/>
        <v>25.491970667409266</v>
      </c>
      <c r="H11" s="12">
        <f t="shared" si="4"/>
        <v>25.244665767541587</v>
      </c>
      <c r="I11" s="12">
        <f t="shared" si="4"/>
        <v>25.329769253380363</v>
      </c>
      <c r="J11" s="12">
        <f t="shared" si="4"/>
        <v>35.500008241441272</v>
      </c>
      <c r="K11" s="12">
        <f t="shared" si="4"/>
        <v>37.094954114728125</v>
      </c>
      <c r="L11" s="12">
        <f t="shared" si="4"/>
        <v>36.956714928291156</v>
      </c>
      <c r="M11" s="12">
        <f t="shared" si="4"/>
        <v>36.895313681027964</v>
      </c>
      <c r="N11" s="12">
        <f t="shared" si="4"/>
        <v>36.76255883761403</v>
      </c>
      <c r="O11" s="12">
        <f t="shared" si="4"/>
        <v>36.609686609686612</v>
      </c>
      <c r="P11" s="12">
        <f t="shared" si="4"/>
        <v>36.464351598451223</v>
      </c>
      <c r="Q11" s="12">
        <f t="shared" si="4"/>
        <v>36.33952337708979</v>
      </c>
      <c r="R11" s="12">
        <f t="shared" si="4"/>
        <v>36.215122479516268</v>
      </c>
      <c r="S11" s="12">
        <f t="shared" si="4"/>
        <v>36.091147442875382</v>
      </c>
    </row>
    <row r="12" spans="1:19" s="9" customFormat="1" ht="25.15" customHeight="1" x14ac:dyDescent="0.25">
      <c r="A12" s="14"/>
      <c r="B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9" customFormat="1" ht="25.15" customHeight="1" x14ac:dyDescent="0.25">
      <c r="A13" s="197" t="s">
        <v>53</v>
      </c>
      <c r="B13" s="19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9" customFormat="1" ht="25.15" customHeight="1" outlineLevel="1" x14ac:dyDescent="0.25">
      <c r="A14" s="14" t="s">
        <v>9</v>
      </c>
      <c r="B14" s="10" t="s">
        <v>4</v>
      </c>
      <c r="C14" s="1" t="s">
        <v>5</v>
      </c>
      <c r="D14" s="12">
        <v>64.7</v>
      </c>
      <c r="E14" s="12">
        <v>65.3</v>
      </c>
      <c r="F14" s="12">
        <v>66.900000000000006</v>
      </c>
      <c r="G14" s="12">
        <v>69.2</v>
      </c>
      <c r="H14" s="12">
        <v>74.3</v>
      </c>
      <c r="I14" s="12">
        <v>71.400000000000006</v>
      </c>
      <c r="J14" s="12">
        <v>111.8</v>
      </c>
      <c r="K14" s="12">
        <v>129.69999999999999</v>
      </c>
      <c r="L14" s="12">
        <v>141.9</v>
      </c>
      <c r="M14" s="12">
        <v>154.4</v>
      </c>
      <c r="N14" s="12">
        <v>167.3</v>
      </c>
      <c r="O14" s="12">
        <v>180.2</v>
      </c>
      <c r="P14" s="12">
        <v>193.2</v>
      </c>
      <c r="Q14" s="12">
        <f>P14*(1+$K$15)</f>
        <v>209.22836017016382</v>
      </c>
      <c r="R14" s="12">
        <f t="shared" ref="R14:S14" si="5">Q14*(1+$K$15)</f>
        <v>226.58647359987472</v>
      </c>
      <c r="S14" s="12">
        <f t="shared" si="5"/>
        <v>245.38465997951297</v>
      </c>
    </row>
    <row r="15" spans="1:19" ht="25.15" customHeight="1" outlineLevel="1" x14ac:dyDescent="0.25">
      <c r="A15" s="3" t="s">
        <v>29</v>
      </c>
      <c r="B15" s="2" t="s">
        <v>19</v>
      </c>
      <c r="C15" s="1" t="s">
        <v>7</v>
      </c>
      <c r="D15" s="191">
        <f>(J14/D14)^(1/6)-1</f>
        <v>9.5442502163653353E-2</v>
      </c>
      <c r="E15" s="191"/>
      <c r="F15" s="191"/>
      <c r="G15" s="191"/>
      <c r="H15" s="191"/>
      <c r="I15" s="191"/>
      <c r="J15" s="191"/>
      <c r="K15" s="194">
        <f>(P14/K14)^(1/5)-1</f>
        <v>8.2962526760682387E-2</v>
      </c>
      <c r="L15" s="194"/>
      <c r="M15" s="194"/>
      <c r="N15" s="194"/>
      <c r="O15" s="194"/>
      <c r="P15" s="194"/>
      <c r="Q15" s="187"/>
      <c r="R15" s="187"/>
      <c r="S15" s="187"/>
    </row>
    <row r="16" spans="1:19" s="9" customFormat="1" ht="25.15" customHeight="1" outlineLevel="1" x14ac:dyDescent="0.25">
      <c r="A16" s="14" t="s">
        <v>30</v>
      </c>
      <c r="B16" s="10" t="s">
        <v>4</v>
      </c>
      <c r="C16" s="1" t="s">
        <v>10</v>
      </c>
      <c r="D16" s="12">
        <f>5*B46</f>
        <v>2.2679999999999998</v>
      </c>
      <c r="E16" s="12">
        <f>5.2*B46</f>
        <v>2.3587199999999999</v>
      </c>
      <c r="F16" s="12">
        <f>5.4*B46</f>
        <v>2.4494400000000001</v>
      </c>
      <c r="G16" s="12">
        <f>5.7*B46</f>
        <v>2.5855200000000003</v>
      </c>
      <c r="H16" s="12">
        <f>6.2*B46</f>
        <v>2.8123200000000002</v>
      </c>
      <c r="I16" s="12">
        <f>5.9*B46</f>
        <v>2.6762400000000004</v>
      </c>
      <c r="J16" s="12">
        <f>6.6*B46</f>
        <v>2.99376</v>
      </c>
      <c r="K16" s="12">
        <f>7.3*B46</f>
        <v>3.31128</v>
      </c>
      <c r="L16" s="12">
        <f>8*B46</f>
        <v>3.6288</v>
      </c>
      <c r="M16" s="12">
        <f>8.7*B46</f>
        <v>3.9463199999999996</v>
      </c>
      <c r="N16" s="12">
        <f>9.5*B46</f>
        <v>4.3091999999999997</v>
      </c>
      <c r="O16" s="12">
        <f>10.2*B46</f>
        <v>4.6267199999999997</v>
      </c>
      <c r="P16" s="12">
        <f>11*B46</f>
        <v>4.9896000000000003</v>
      </c>
      <c r="Q16" s="12">
        <f>P16*(1+K17)</f>
        <v>5.4160129743067955</v>
      </c>
      <c r="R16" s="12">
        <f t="shared" ref="R16:S16" si="6">Q16*(1+L17)</f>
        <v>5.4160129743067955</v>
      </c>
      <c r="S16" s="12">
        <f t="shared" si="6"/>
        <v>5.4160129743067955</v>
      </c>
    </row>
    <row r="17" spans="1:19" s="9" customFormat="1" ht="25.15" customHeight="1" outlineLevel="1" x14ac:dyDescent="0.25">
      <c r="A17" s="14" t="s">
        <v>31</v>
      </c>
      <c r="B17" s="2" t="s">
        <v>17</v>
      </c>
      <c r="C17" s="1" t="s">
        <v>7</v>
      </c>
      <c r="D17" s="191">
        <f>(J16/D16)^(1/6)-1</f>
        <v>4.7359207954235538E-2</v>
      </c>
      <c r="E17" s="191"/>
      <c r="F17" s="191"/>
      <c r="G17" s="191"/>
      <c r="H17" s="191"/>
      <c r="I17" s="191"/>
      <c r="J17" s="191"/>
      <c r="K17" s="194">
        <f>(P16/K16)^(1/5)-1</f>
        <v>8.5460352394339356E-2</v>
      </c>
      <c r="L17" s="194"/>
      <c r="M17" s="194"/>
      <c r="N17" s="194"/>
      <c r="O17" s="194"/>
      <c r="P17" s="194"/>
      <c r="Q17" s="187"/>
      <c r="R17" s="187"/>
      <c r="S17" s="187"/>
    </row>
    <row r="18" spans="1:19" s="9" customFormat="1" ht="25.15" customHeight="1" x14ac:dyDescent="0.25">
      <c r="A18" s="14"/>
      <c r="B18" s="2"/>
      <c r="C18" s="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9" customFormat="1" ht="25.15" customHeight="1" x14ac:dyDescent="0.25">
      <c r="A19" s="197" t="s">
        <v>54</v>
      </c>
      <c r="B19" s="19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9" customFormat="1" ht="25.15" customHeight="1" outlineLevel="1" x14ac:dyDescent="0.25">
      <c r="A20" s="14" t="s">
        <v>12</v>
      </c>
      <c r="B20" s="10" t="s">
        <v>4</v>
      </c>
      <c r="C20" s="1" t="s">
        <v>5</v>
      </c>
      <c r="D20" s="12">
        <v>21.5</v>
      </c>
      <c r="E20" s="12">
        <v>21.8</v>
      </c>
      <c r="F20" s="12">
        <v>22.2</v>
      </c>
      <c r="G20" s="12">
        <v>22.9</v>
      </c>
      <c r="H20" s="12">
        <v>24</v>
      </c>
      <c r="I20" s="12">
        <v>23</v>
      </c>
      <c r="J20" s="12">
        <v>35.799999999999997</v>
      </c>
      <c r="K20" s="12">
        <v>41.3</v>
      </c>
      <c r="L20" s="12">
        <v>45</v>
      </c>
      <c r="M20" s="12">
        <v>48.8</v>
      </c>
      <c r="N20" s="12">
        <v>52.7</v>
      </c>
      <c r="O20" s="12">
        <v>56.6</v>
      </c>
      <c r="P20" s="12">
        <v>60.6</v>
      </c>
      <c r="Q20" s="12">
        <f>P20*(1+$K$21)</f>
        <v>65.430032899211895</v>
      </c>
      <c r="R20" s="12">
        <f t="shared" ref="R20:S20" si="7">Q20*(1+$K$21)</f>
        <v>70.645036389306114</v>
      </c>
      <c r="S20" s="12">
        <f t="shared" si="7"/>
        <v>76.275693978850171</v>
      </c>
    </row>
    <row r="21" spans="1:19" ht="25.15" customHeight="1" outlineLevel="1" x14ac:dyDescent="0.25">
      <c r="A21" s="3" t="s">
        <v>33</v>
      </c>
      <c r="B21" s="2" t="s">
        <v>19</v>
      </c>
      <c r="C21" s="1" t="s">
        <v>7</v>
      </c>
      <c r="D21" s="191">
        <f>(J20/D20)^(1/6)-1</f>
        <v>8.8698006745096869E-2</v>
      </c>
      <c r="E21" s="191"/>
      <c r="F21" s="191"/>
      <c r="G21" s="191"/>
      <c r="H21" s="191"/>
      <c r="I21" s="191"/>
      <c r="J21" s="191"/>
      <c r="K21" s="194">
        <f>(P20/K20)^(1/5)-1</f>
        <v>7.9703513188315034E-2</v>
      </c>
      <c r="L21" s="194"/>
      <c r="M21" s="194"/>
      <c r="N21" s="194"/>
      <c r="O21" s="194"/>
      <c r="P21" s="194"/>
      <c r="Q21" s="187"/>
      <c r="R21" s="187"/>
      <c r="S21" s="187"/>
    </row>
    <row r="22" spans="1:19" ht="25.15" customHeight="1" outlineLevel="1" x14ac:dyDescent="0.25">
      <c r="A22" s="3" t="s">
        <v>34</v>
      </c>
      <c r="B22" s="10" t="s">
        <v>4</v>
      </c>
      <c r="C22" s="1" t="s">
        <v>10</v>
      </c>
      <c r="D22" s="12">
        <f>1.7*B46</f>
        <v>0.77112000000000003</v>
      </c>
      <c r="E22" s="12">
        <f>1.7*B46</f>
        <v>0.77112000000000003</v>
      </c>
      <c r="F22" s="12">
        <f>1.8*B46</f>
        <v>0.81647999999999998</v>
      </c>
      <c r="G22" s="12">
        <f>1.9*B46</f>
        <v>0.86183999999999994</v>
      </c>
      <c r="H22" s="12">
        <f>2*B46</f>
        <v>0.90720000000000001</v>
      </c>
      <c r="I22" s="12">
        <f>1.9*B46</f>
        <v>0.86183999999999994</v>
      </c>
      <c r="J22" s="12">
        <f>2.1*B46</f>
        <v>0.95256000000000007</v>
      </c>
      <c r="K22" s="12">
        <f>2.3*B46</f>
        <v>1.04328</v>
      </c>
      <c r="L22" s="12">
        <f>2.5*B46</f>
        <v>1.1339999999999999</v>
      </c>
      <c r="M22" s="12">
        <f>2.8*B46</f>
        <v>1.2700799999999999</v>
      </c>
      <c r="N22" s="12">
        <f>3*B46</f>
        <v>1.3608</v>
      </c>
      <c r="O22" s="12">
        <f>3.2*B46</f>
        <v>1.4515200000000001</v>
      </c>
      <c r="P22" s="12">
        <f>3.4*B46</f>
        <v>1.5422400000000001</v>
      </c>
      <c r="Q22" s="12">
        <f>P22*(1+$K$23)</f>
        <v>1.6676395221988112</v>
      </c>
      <c r="R22" s="12">
        <f t="shared" ref="R22:S22" si="8">Q22*(1+$K$23)</f>
        <v>1.8032352785555292</v>
      </c>
      <c r="S22" s="12">
        <f t="shared" si="8"/>
        <v>1.9498563247888674</v>
      </c>
    </row>
    <row r="23" spans="1:19" s="9" customFormat="1" ht="25.15" customHeight="1" outlineLevel="1" x14ac:dyDescent="0.25">
      <c r="A23" s="14" t="s">
        <v>35</v>
      </c>
      <c r="B23" s="2" t="s">
        <v>17</v>
      </c>
      <c r="C23" s="1" t="s">
        <v>7</v>
      </c>
      <c r="D23" s="191">
        <f>(J22/D22)^(1/6)-1</f>
        <v>3.5845687318051489E-2</v>
      </c>
      <c r="E23" s="191"/>
      <c r="F23" s="191"/>
      <c r="G23" s="191"/>
      <c r="H23" s="191"/>
      <c r="I23" s="191"/>
      <c r="J23" s="191"/>
      <c r="K23" s="194">
        <f>(P22/K22)^(1/5)-1</f>
        <v>8.1309992088657523E-2</v>
      </c>
      <c r="L23" s="194"/>
      <c r="M23" s="194"/>
      <c r="N23" s="194"/>
      <c r="O23" s="194"/>
      <c r="P23" s="194"/>
      <c r="Q23" s="187"/>
      <c r="R23" s="187"/>
      <c r="S23" s="187"/>
    </row>
    <row r="24" spans="1:19" s="9" customFormat="1" ht="25.15" customHeight="1" x14ac:dyDescent="0.25">
      <c r="A24" s="14"/>
      <c r="B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9" customFormat="1" ht="25.15" customHeight="1" x14ac:dyDescent="0.25">
      <c r="A25" s="198" t="s">
        <v>55</v>
      </c>
      <c r="B25" s="19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9" customFormat="1" ht="25.15" customHeight="1" outlineLevel="1" x14ac:dyDescent="0.25">
      <c r="A26" s="14" t="s">
        <v>14</v>
      </c>
      <c r="B26" s="10" t="s">
        <v>4</v>
      </c>
      <c r="C26" s="1" t="s">
        <v>5</v>
      </c>
      <c r="D26" s="12">
        <v>14.3</v>
      </c>
      <c r="E26" s="12">
        <v>14.4</v>
      </c>
      <c r="F26" s="12">
        <v>14.7</v>
      </c>
      <c r="G26" s="12">
        <v>15</v>
      </c>
      <c r="H26" s="12">
        <v>15.6</v>
      </c>
      <c r="I26" s="12">
        <v>14.7</v>
      </c>
      <c r="J26" s="12">
        <v>22.7</v>
      </c>
      <c r="K26" s="12">
        <v>25.5</v>
      </c>
      <c r="L26" s="12">
        <v>27</v>
      </c>
      <c r="M26" s="12">
        <v>28.4</v>
      </c>
      <c r="N26" s="12">
        <v>29.8</v>
      </c>
      <c r="O26" s="12">
        <v>31.1</v>
      </c>
      <c r="P26" s="12">
        <v>32.4</v>
      </c>
      <c r="Q26" s="12">
        <f>P26*(1+$K$27)</f>
        <v>33.989593931272786</v>
      </c>
      <c r="R26" s="12">
        <f t="shared" ref="R26:S26" si="9">Q26*(1+$K$27)</f>
        <v>35.657175790519013</v>
      </c>
      <c r="S26" s="12">
        <f t="shared" si="9"/>
        <v>37.40657178567136</v>
      </c>
    </row>
    <row r="27" spans="1:19" ht="25.15" customHeight="1" outlineLevel="1" x14ac:dyDescent="0.25">
      <c r="A27" s="3" t="s">
        <v>37</v>
      </c>
      <c r="B27" s="2" t="s">
        <v>19</v>
      </c>
      <c r="C27" s="1" t="s">
        <v>7</v>
      </c>
      <c r="D27" s="191">
        <f>(J26/D26)^(1/6)-1</f>
        <v>8.0061046998126217E-2</v>
      </c>
      <c r="E27" s="191"/>
      <c r="F27" s="191"/>
      <c r="G27" s="191"/>
      <c r="H27" s="191"/>
      <c r="I27" s="191"/>
      <c r="J27" s="191"/>
      <c r="K27" s="194">
        <f>(P26/K26)^(1/5)-1</f>
        <v>4.9061541088666338E-2</v>
      </c>
      <c r="L27" s="194"/>
      <c r="M27" s="194"/>
      <c r="N27" s="194"/>
      <c r="O27" s="194"/>
      <c r="P27" s="194"/>
      <c r="Q27" s="187"/>
      <c r="R27" s="187"/>
      <c r="S27" s="187"/>
    </row>
    <row r="28" spans="1:19" ht="25.15" customHeight="1" outlineLevel="1" x14ac:dyDescent="0.25">
      <c r="A28" s="3" t="s">
        <v>38</v>
      </c>
      <c r="B28" s="10" t="s">
        <v>4</v>
      </c>
      <c r="C28" s="1" t="s">
        <v>10</v>
      </c>
      <c r="D28" s="12">
        <f>1.1*B46</f>
        <v>0.49896000000000007</v>
      </c>
      <c r="E28" s="12">
        <f>1.2*B46</f>
        <v>0.54432000000000003</v>
      </c>
      <c r="F28" s="12">
        <f>1.2*B46</f>
        <v>0.54432000000000003</v>
      </c>
      <c r="G28" s="12">
        <f>1.2*B46</f>
        <v>0.54432000000000003</v>
      </c>
      <c r="H28" s="12">
        <f>1.3*B46</f>
        <v>0.58967999999999998</v>
      </c>
      <c r="I28" s="12">
        <f>1.2*B46</f>
        <v>0.54432000000000003</v>
      </c>
      <c r="J28" s="12">
        <f>1.3*B46</f>
        <v>0.58967999999999998</v>
      </c>
      <c r="K28" s="12">
        <f>1.4*B46</f>
        <v>0.63503999999999994</v>
      </c>
      <c r="L28" s="12">
        <f>1.5*B46</f>
        <v>0.6804</v>
      </c>
      <c r="M28" s="12">
        <f>1.6*B46</f>
        <v>0.72576000000000007</v>
      </c>
      <c r="N28" s="12">
        <f>1.7*B46</f>
        <v>0.77112000000000003</v>
      </c>
      <c r="O28" s="12">
        <f>1.8*B46</f>
        <v>0.81647999999999998</v>
      </c>
      <c r="P28" s="12">
        <f>1.8*B46</f>
        <v>0.81647999999999998</v>
      </c>
      <c r="Q28" s="12">
        <f>P28*(1+$K$29)</f>
        <v>0.85856750018504346</v>
      </c>
      <c r="R28" s="12">
        <f t="shared" ref="R28:S28" si="10">Q28*(1+$K$29)</f>
        <v>0.90282450565108108</v>
      </c>
      <c r="S28" s="12">
        <f t="shared" si="10"/>
        <v>0.94936284896463652</v>
      </c>
    </row>
    <row r="29" spans="1:19" ht="25.15" customHeight="1" outlineLevel="1" x14ac:dyDescent="0.25">
      <c r="A29" s="14" t="s">
        <v>39</v>
      </c>
      <c r="B29" s="2" t="s">
        <v>17</v>
      </c>
      <c r="C29" s="1" t="s">
        <v>7</v>
      </c>
      <c r="D29" s="191">
        <f>(J28/D28)^(1/6)-1</f>
        <v>2.8233567992424158E-2</v>
      </c>
      <c r="E29" s="191"/>
      <c r="F29" s="191"/>
      <c r="G29" s="191"/>
      <c r="H29" s="191"/>
      <c r="I29" s="191"/>
      <c r="J29" s="191"/>
      <c r="K29" s="194">
        <f>(P28/K28)^(1/5)-1</f>
        <v>5.1547496797280434E-2</v>
      </c>
      <c r="L29" s="194"/>
      <c r="M29" s="194"/>
      <c r="N29" s="194"/>
      <c r="O29" s="194"/>
      <c r="P29" s="194"/>
      <c r="Q29" s="187"/>
      <c r="R29" s="187"/>
      <c r="S29" s="187"/>
    </row>
    <row r="30" spans="1:19" ht="25.15" customHeight="1" x14ac:dyDescent="0.25">
      <c r="A30" s="14"/>
      <c r="B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5.15" customHeight="1" x14ac:dyDescent="0.25">
      <c r="A31" s="198" t="s">
        <v>56</v>
      </c>
      <c r="B31" s="19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9" customFormat="1" ht="25.15" customHeight="1" outlineLevel="1" x14ac:dyDescent="0.25">
      <c r="A32" s="14" t="s">
        <v>41</v>
      </c>
      <c r="B32" s="10" t="s">
        <v>4</v>
      </c>
      <c r="C32" s="1" t="s">
        <v>5</v>
      </c>
      <c r="D32" s="12">
        <v>44.1</v>
      </c>
      <c r="E32" s="12">
        <v>44.4</v>
      </c>
      <c r="F32" s="12">
        <v>45.4</v>
      </c>
      <c r="G32" s="12">
        <v>46.6</v>
      </c>
      <c r="H32" s="12">
        <v>49.9</v>
      </c>
      <c r="I32" s="12">
        <v>47.7</v>
      </c>
      <c r="J32" s="12">
        <v>74.8</v>
      </c>
      <c r="K32" s="12">
        <v>87</v>
      </c>
      <c r="L32" s="12">
        <v>95.4</v>
      </c>
      <c r="M32" s="12">
        <v>100.3</v>
      </c>
      <c r="N32" s="12">
        <v>112.5</v>
      </c>
      <c r="O32" s="12">
        <v>121.3</v>
      </c>
      <c r="P32" s="12">
        <v>130.5</v>
      </c>
      <c r="Q32" s="12">
        <f>P32*(1+$K$33)</f>
        <v>141.52356614129965</v>
      </c>
      <c r="R32" s="12">
        <f t="shared" ref="R32:S32" si="11">Q32*(1+$K$33)</f>
        <v>153.47831243946987</v>
      </c>
      <c r="S32" s="12">
        <f t="shared" si="11"/>
        <v>166.44289733166568</v>
      </c>
    </row>
    <row r="33" spans="1:19" ht="25.15" customHeight="1" outlineLevel="1" x14ac:dyDescent="0.25">
      <c r="A33" s="3" t="s">
        <v>42</v>
      </c>
      <c r="B33" s="2" t="s">
        <v>19</v>
      </c>
      <c r="C33" s="1" t="s">
        <v>7</v>
      </c>
      <c r="D33" s="191">
        <f>(J32/D32)^(1/6)-1</f>
        <v>9.2053297924256094E-2</v>
      </c>
      <c r="E33" s="191"/>
      <c r="F33" s="191"/>
      <c r="G33" s="191"/>
      <c r="H33" s="191"/>
      <c r="I33" s="191"/>
      <c r="J33" s="191"/>
      <c r="K33" s="194">
        <f>(P32/K32)^(1/5)-1</f>
        <v>8.4471771197698553E-2</v>
      </c>
      <c r="L33" s="194"/>
      <c r="M33" s="194"/>
      <c r="N33" s="194"/>
      <c r="O33" s="194"/>
      <c r="P33" s="194"/>
      <c r="Q33" s="187"/>
      <c r="R33" s="187"/>
      <c r="S33" s="187"/>
    </row>
    <row r="34" spans="1:19" ht="25.15" customHeight="1" outlineLevel="1" x14ac:dyDescent="0.25">
      <c r="A34" s="3" t="s">
        <v>43</v>
      </c>
      <c r="B34" s="10" t="s">
        <v>4</v>
      </c>
      <c r="C34" s="1" t="s">
        <v>10</v>
      </c>
      <c r="D34" s="12">
        <f>3.4*B46</f>
        <v>1.5422400000000001</v>
      </c>
      <c r="E34" s="12">
        <f>3.6*B46</f>
        <v>1.63296</v>
      </c>
      <c r="F34" s="12">
        <f>3.6*B46</f>
        <v>1.63296</v>
      </c>
      <c r="G34" s="12">
        <f>3.9*B46</f>
        <v>1.7690399999999999</v>
      </c>
      <c r="H34" s="12">
        <f>4.1*B46</f>
        <v>1.8597599999999999</v>
      </c>
      <c r="I34" s="12">
        <f>3.9*B46</f>
        <v>1.7690399999999999</v>
      </c>
      <c r="J34" s="12">
        <f>4.4*B46</f>
        <v>1.9958400000000003</v>
      </c>
      <c r="K34" s="12">
        <f>4.9*B46</f>
        <v>2.2226400000000002</v>
      </c>
      <c r="L34" s="12">
        <f>5.4*B46</f>
        <v>2.4494400000000001</v>
      </c>
      <c r="M34" s="12">
        <f>5.9*B46</f>
        <v>2.6762400000000004</v>
      </c>
      <c r="N34" s="12">
        <f>6.4*B46</f>
        <v>2.9030400000000003</v>
      </c>
      <c r="O34" s="12">
        <f>6.9*B46</f>
        <v>3.1298400000000002</v>
      </c>
      <c r="P34" s="12">
        <f>7.4*B46</f>
        <v>3.3566400000000001</v>
      </c>
      <c r="Q34" s="12">
        <f>P34*(1+$K$35)</f>
        <v>3.6451205319354179</v>
      </c>
      <c r="R34" s="12">
        <f t="shared" ref="R34:S34" si="12">Q34*(1+$K$35)</f>
        <v>3.9583940167361238</v>
      </c>
      <c r="S34" s="12">
        <f t="shared" si="12"/>
        <v>4.2985912412100058</v>
      </c>
    </row>
    <row r="35" spans="1:19" ht="25.15" customHeight="1" outlineLevel="1" x14ac:dyDescent="0.25">
      <c r="A35" s="14" t="s">
        <v>44</v>
      </c>
      <c r="B35" s="2" t="s">
        <v>17</v>
      </c>
      <c r="C35" s="1" t="s">
        <v>7</v>
      </c>
      <c r="D35" s="191">
        <f>(J34/D34)^(1/6)-1</f>
        <v>4.3908162061466749E-2</v>
      </c>
      <c r="E35" s="191"/>
      <c r="F35" s="191"/>
      <c r="G35" s="191"/>
      <c r="H35" s="191"/>
      <c r="I35" s="191"/>
      <c r="J35" s="191"/>
      <c r="K35" s="194">
        <f>(P34/K34)^(1/5)-1</f>
        <v>8.5943244415670916E-2</v>
      </c>
      <c r="L35" s="194"/>
      <c r="M35" s="194"/>
      <c r="N35" s="194"/>
      <c r="O35" s="194"/>
      <c r="P35" s="194"/>
      <c r="Q35" s="187"/>
      <c r="R35" s="187"/>
      <c r="S35" s="187"/>
    </row>
    <row r="36" spans="1:19" ht="25.15" customHeight="1" x14ac:dyDescent="0.25">
      <c r="A36" s="14"/>
      <c r="B36" s="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5.15" customHeight="1" x14ac:dyDescent="0.25">
      <c r="A37" s="198" t="s">
        <v>57</v>
      </c>
      <c r="B37" s="19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9" customFormat="1" ht="25.15" customHeight="1" outlineLevel="1" x14ac:dyDescent="0.25">
      <c r="A38" s="14" t="s">
        <v>41</v>
      </c>
      <c r="B38" s="10" t="s">
        <v>4</v>
      </c>
      <c r="C38" s="1" t="s">
        <v>5</v>
      </c>
      <c r="D38" s="9">
        <v>62.5</v>
      </c>
      <c r="E38" s="9">
        <v>62.9</v>
      </c>
      <c r="F38" s="9">
        <v>64.3</v>
      </c>
      <c r="G38" s="9">
        <v>66.099999999999994</v>
      </c>
      <c r="H38" s="9">
        <v>69.7</v>
      </c>
      <c r="I38" s="9">
        <v>63.6</v>
      </c>
      <c r="J38" s="9">
        <v>99.4</v>
      </c>
      <c r="K38" s="9">
        <v>113.6</v>
      </c>
      <c r="L38" s="9">
        <v>123.2</v>
      </c>
      <c r="M38" s="9">
        <v>133.19999999999999</v>
      </c>
      <c r="N38" s="9">
        <v>141.30000000000001</v>
      </c>
      <c r="O38" s="9">
        <v>150.4</v>
      </c>
      <c r="P38" s="101">
        <v>158.9</v>
      </c>
      <c r="Q38" s="12">
        <f>P38*(1+$K$39)</f>
        <v>169.93115543408942</v>
      </c>
      <c r="R38" s="12">
        <f t="shared" ref="R38:S38" si="13">Q38*(1+$K$39)</f>
        <v>181.72811571532193</v>
      </c>
      <c r="S38" s="12">
        <f t="shared" si="13"/>
        <v>194.34404454603245</v>
      </c>
    </row>
    <row r="39" spans="1:19" ht="25.15" customHeight="1" outlineLevel="1" x14ac:dyDescent="0.25">
      <c r="A39" s="3" t="s">
        <v>42</v>
      </c>
      <c r="B39" s="2" t="s">
        <v>19</v>
      </c>
      <c r="C39" s="1" t="s">
        <v>7</v>
      </c>
      <c r="D39" s="191">
        <f>(J38/D38)^(1/6)-1</f>
        <v>8.0399549707782292E-2</v>
      </c>
      <c r="E39" s="191"/>
      <c r="F39" s="191"/>
      <c r="G39" s="191"/>
      <c r="H39" s="191"/>
      <c r="I39" s="191"/>
      <c r="J39" s="191"/>
      <c r="K39" s="194">
        <f>(P38/K38)^(1/5)-1</f>
        <v>6.9421997697227233E-2</v>
      </c>
      <c r="L39" s="194"/>
      <c r="M39" s="194"/>
      <c r="N39" s="194"/>
      <c r="O39" s="194"/>
      <c r="P39" s="194"/>
      <c r="Q39" s="187"/>
      <c r="R39" s="187"/>
      <c r="S39" s="187"/>
    </row>
    <row r="40" spans="1:19" ht="25.15" customHeight="1" outlineLevel="1" x14ac:dyDescent="0.25">
      <c r="A40" s="3" t="s">
        <v>43</v>
      </c>
      <c r="B40" s="10" t="s">
        <v>4</v>
      </c>
      <c r="C40" s="1" t="s">
        <v>10</v>
      </c>
      <c r="D40" s="12">
        <f>5.1*B46</f>
        <v>2.3133599999999999</v>
      </c>
      <c r="E40" s="12">
        <f>5.6*B46</f>
        <v>2.5401599999999998</v>
      </c>
      <c r="F40" s="12">
        <f>5.8*B46</f>
        <v>2.6308799999999999</v>
      </c>
      <c r="G40" s="12">
        <f>6.3*B46</f>
        <v>2.8576799999999998</v>
      </c>
      <c r="H40" s="12">
        <f>6.8*B46</f>
        <v>3.0844800000000001</v>
      </c>
      <c r="I40" s="12">
        <f>6.2*B46</f>
        <v>2.8123200000000002</v>
      </c>
      <c r="J40" s="12">
        <f>7*B46</f>
        <v>3.1752000000000002</v>
      </c>
      <c r="K40" s="12">
        <f>7.7*B46</f>
        <v>3.4927200000000003</v>
      </c>
      <c r="L40" s="12">
        <f>8.4*B46</f>
        <v>3.8102400000000003</v>
      </c>
      <c r="M40" s="12">
        <f>9.1*B46</f>
        <v>4.1277599999999994</v>
      </c>
      <c r="N40" s="12">
        <f>9.7*B46</f>
        <v>4.3999199999999998</v>
      </c>
      <c r="O40" s="12">
        <f>10.4*B46</f>
        <v>4.7174399999999999</v>
      </c>
      <c r="P40" s="12">
        <f>11.1*B46</f>
        <v>5.0349599999999999</v>
      </c>
      <c r="Q40" s="12">
        <f>P40*(1+$K$41)</f>
        <v>5.4170453998812373</v>
      </c>
      <c r="R40" s="12">
        <f t="shared" ref="R40:S40" si="14">Q40*(1+$K$41)</f>
        <v>5.8281259164669583</v>
      </c>
      <c r="S40" s="12">
        <f t="shared" si="14"/>
        <v>6.2704018871502374</v>
      </c>
    </row>
    <row r="41" spans="1:19" ht="25.15" customHeight="1" outlineLevel="1" x14ac:dyDescent="0.25">
      <c r="A41" s="14" t="s">
        <v>44</v>
      </c>
      <c r="B41" s="2" t="s">
        <v>17</v>
      </c>
      <c r="C41" s="1" t="s">
        <v>7</v>
      </c>
      <c r="D41" s="191">
        <f>(J40/D40)^(1/6)-1</f>
        <v>5.4195870476734909E-2</v>
      </c>
      <c r="E41" s="191"/>
      <c r="F41" s="191"/>
      <c r="G41" s="191"/>
      <c r="H41" s="191"/>
      <c r="I41" s="191"/>
      <c r="J41" s="191"/>
      <c r="K41" s="194">
        <f>(P40/K40)^(1/5)-1</f>
        <v>7.588648169622747E-2</v>
      </c>
      <c r="L41" s="194"/>
      <c r="M41" s="194"/>
      <c r="N41" s="194"/>
      <c r="O41" s="194"/>
      <c r="P41" s="194"/>
      <c r="Q41" s="187"/>
      <c r="R41" s="187"/>
      <c r="S41" s="187"/>
    </row>
    <row r="42" spans="1:19" ht="25.15" customHeight="1" x14ac:dyDescent="0.25">
      <c r="A42" s="3"/>
      <c r="B42" s="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s="9" customFormat="1" ht="30" customHeight="1" x14ac:dyDescent="0.25">
      <c r="B43" s="17"/>
      <c r="P43" s="101"/>
      <c r="Q43" s="188"/>
      <c r="R43" s="188"/>
      <c r="S43" s="188"/>
    </row>
    <row r="44" spans="1:19" s="9" customFormat="1" x14ac:dyDescent="0.25">
      <c r="P44" s="101"/>
      <c r="Q44" s="188"/>
      <c r="R44" s="188"/>
      <c r="S44" s="188"/>
    </row>
    <row r="46" spans="1:19" ht="30" x14ac:dyDescent="0.25">
      <c r="A46" s="1" t="s">
        <v>3</v>
      </c>
      <c r="B46" s="2">
        <v>0.4536</v>
      </c>
    </row>
  </sheetData>
  <mergeCells count="30">
    <mergeCell ref="A6:B6"/>
    <mergeCell ref="K8:P8"/>
    <mergeCell ref="D8:J8"/>
    <mergeCell ref="K10:P10"/>
    <mergeCell ref="D10:J10"/>
    <mergeCell ref="A13:B13"/>
    <mergeCell ref="K15:P15"/>
    <mergeCell ref="D15:J15"/>
    <mergeCell ref="K17:P17"/>
    <mergeCell ref="D17:J17"/>
    <mergeCell ref="A19:B19"/>
    <mergeCell ref="K21:P21"/>
    <mergeCell ref="D21:J21"/>
    <mergeCell ref="K23:P23"/>
    <mergeCell ref="D23:J23"/>
    <mergeCell ref="A25:B25"/>
    <mergeCell ref="K27:P27"/>
    <mergeCell ref="D27:J27"/>
    <mergeCell ref="K29:P29"/>
    <mergeCell ref="D29:J29"/>
    <mergeCell ref="A31:B31"/>
    <mergeCell ref="K33:P33"/>
    <mergeCell ref="D33:J33"/>
    <mergeCell ref="K35:P35"/>
    <mergeCell ref="D35:J35"/>
    <mergeCell ref="A37:B37"/>
    <mergeCell ref="K39:P39"/>
    <mergeCell ref="D39:J39"/>
    <mergeCell ref="D41:J41"/>
    <mergeCell ref="K41:P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5F2-E46D-4EFA-8E1E-66EA8883FD3A}">
  <sheetPr>
    <tabColor rgb="FFFFC000"/>
  </sheetPr>
  <dimension ref="A4:S29"/>
  <sheetViews>
    <sheetView view="pageBreakPreview" topLeftCell="A4" zoomScale="60" zoomScaleNormal="85" workbookViewId="0">
      <selection activeCell="P23" sqref="P23:S28"/>
    </sheetView>
  </sheetViews>
  <sheetFormatPr defaultColWidth="8.85546875" defaultRowHeight="15" outlineLevelRow="2" x14ac:dyDescent="0.25"/>
  <cols>
    <col min="1" max="1" width="8.85546875" style="4"/>
    <col min="2" max="2" width="40" style="4" customWidth="1"/>
    <col min="3" max="3" width="19.7109375" style="4" customWidth="1"/>
    <col min="4" max="15" width="10.7109375" style="4" customWidth="1"/>
    <col min="16" max="16" width="10.7109375" style="100" customWidth="1"/>
    <col min="17" max="19" width="10.7109375" style="189" customWidth="1"/>
    <col min="20" max="16384" width="8.85546875" style="4"/>
  </cols>
  <sheetData>
    <row r="4" spans="1:19" s="6" customFormat="1" ht="31.9" customHeight="1" thickBot="1" x14ac:dyDescent="0.3">
      <c r="A4" s="5" t="s">
        <v>0</v>
      </c>
      <c r="B4" s="5" t="s">
        <v>1</v>
      </c>
      <c r="C4" s="5" t="s">
        <v>2</v>
      </c>
      <c r="D4" s="5">
        <v>2015</v>
      </c>
      <c r="E4" s="5">
        <f>D4+1</f>
        <v>2016</v>
      </c>
      <c r="F4" s="5">
        <f t="shared" ref="F4:P4" si="0">E4+1</f>
        <v>2017</v>
      </c>
      <c r="G4" s="5">
        <f t="shared" si="0"/>
        <v>2018</v>
      </c>
      <c r="H4" s="5">
        <f t="shared" si="0"/>
        <v>2019</v>
      </c>
      <c r="I4" s="5">
        <f t="shared" si="0"/>
        <v>2020</v>
      </c>
      <c r="J4" s="5">
        <f t="shared" si="0"/>
        <v>2021</v>
      </c>
      <c r="K4" s="5">
        <f t="shared" si="0"/>
        <v>2022</v>
      </c>
      <c r="L4" s="5">
        <f t="shared" si="0"/>
        <v>2023</v>
      </c>
      <c r="M4" s="5">
        <f t="shared" si="0"/>
        <v>2024</v>
      </c>
      <c r="N4" s="5">
        <f t="shared" si="0"/>
        <v>2025</v>
      </c>
      <c r="O4" s="5">
        <f t="shared" si="0"/>
        <v>2026</v>
      </c>
      <c r="P4" s="5">
        <f t="shared" si="0"/>
        <v>2027</v>
      </c>
      <c r="Q4" s="5">
        <f t="shared" ref="Q4" si="1">P4+1</f>
        <v>2028</v>
      </c>
      <c r="R4" s="5">
        <f t="shared" ref="R4" si="2">Q4+1</f>
        <v>2029</v>
      </c>
      <c r="S4" s="5">
        <f t="shared" ref="S4" si="3">R4+1</f>
        <v>2030</v>
      </c>
    </row>
    <row r="5" spans="1:19" s="6" customFormat="1" ht="25.15" customHeight="1" thickTop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5.15" customHeight="1" outlineLevel="1" x14ac:dyDescent="0.25">
      <c r="A6" s="3" t="s">
        <v>67</v>
      </c>
      <c r="B6" s="2" t="s">
        <v>66</v>
      </c>
      <c r="C6" s="4" t="s">
        <v>21</v>
      </c>
      <c r="D6" s="12">
        <f>'УВ регионы мира'!D7/'УВ регионы мира'!D9</f>
        <v>32.755307118540784</v>
      </c>
      <c r="E6" s="12">
        <f>'УВ регионы мира'!E7/'УВ регионы мира'!E9</f>
        <v>31.656795222686693</v>
      </c>
      <c r="F6" s="12">
        <f>'УВ регионы мира'!F7/'УВ регионы мира'!F9</f>
        <v>31.468723710450909</v>
      </c>
      <c r="G6" s="12">
        <f>'УВ регионы мира'!G7/'УВ регионы мира'!G9</f>
        <v>31.051132426674165</v>
      </c>
      <c r="H6" s="12">
        <f>'УВ регионы мира'!H7/'УВ регионы мира'!H9</f>
        <v>30.712632275132275</v>
      </c>
      <c r="I6" s="12">
        <f>'УВ регионы мира'!I7/'УВ регионы мира'!I9</f>
        <v>27.053849862385043</v>
      </c>
      <c r="J6" s="12">
        <f>'УВ регионы мира'!J7/'УВ регионы мира'!J9</f>
        <v>35.429045489789608</v>
      </c>
      <c r="K6" s="12">
        <f>'УВ регионы мира'!K7/'УВ регионы мира'!K9</f>
        <v>36.70241448306632</v>
      </c>
      <c r="L6" s="12">
        <f>'УВ регионы мира'!L7/'УВ регионы мира'!L9</f>
        <v>36.666692251798629</v>
      </c>
      <c r="M6" s="12">
        <f>'УВ регионы мира'!M7/'УВ регионы мира'!M9</f>
        <v>36.811943614198334</v>
      </c>
      <c r="N6" s="12">
        <f>'УВ регионы мира'!N7/'УВ регионы мира'!N9</f>
        <v>36.590687685828001</v>
      </c>
      <c r="O6" s="12">
        <f>'УВ регионы мира'!O7/'УВ регионы мира'!O9</f>
        <v>36.714662707889225</v>
      </c>
      <c r="P6" s="12">
        <f>'УВ регионы мира'!P7/'УВ регионы мира'!P9</f>
        <v>36.566489269191969</v>
      </c>
      <c r="Q6" s="12">
        <f>'УВ регионы мира'!Q7/'УВ регионы мира'!Q9</f>
        <v>36.53936469308919</v>
      </c>
      <c r="R6" s="12">
        <f>'УВ регионы мира'!R7/'УВ регионы мира'!R9</f>
        <v>36.512260237666396</v>
      </c>
      <c r="S6" s="12">
        <f>'УВ регионы мира'!S7/'УВ регионы мира'!S9</f>
        <v>36.485175887998309</v>
      </c>
    </row>
    <row r="7" spans="1:19" ht="25.15" customHeight="1" outlineLevel="1" x14ac:dyDescent="0.25">
      <c r="A7" s="20">
        <f>A6+1</f>
        <v>2</v>
      </c>
      <c r="B7" s="21" t="s">
        <v>68</v>
      </c>
      <c r="C7" s="22" t="s">
        <v>21</v>
      </c>
      <c r="D7" s="25">
        <f>Авиация!D7/Авиация!D9</f>
        <v>59.020223994843285</v>
      </c>
      <c r="E7" s="25">
        <f>Авиация!E7/Авиация!E9</f>
        <v>57.579524446994327</v>
      </c>
      <c r="F7" s="25">
        <f>Авиация!F7/Авиация!F9</f>
        <v>57.40144629033518</v>
      </c>
      <c r="G7" s="25">
        <f>Авиация!G7/Авиация!G9</f>
        <v>57.328830023092912</v>
      </c>
      <c r="H7" s="25">
        <f>Авиация!H7/Авиация!H9</f>
        <v>57.129095459006471</v>
      </c>
      <c r="I7" s="25">
        <f>Авиация!I7/Авиация!I9</f>
        <v>57.686654908877131</v>
      </c>
      <c r="J7" s="25">
        <f>Авиация!J7/Авиация!J9</f>
        <v>82.179973893721538</v>
      </c>
      <c r="K7" s="25">
        <f>Авиация!K7/Авиация!K9</f>
        <v>85.021900498090986</v>
      </c>
      <c r="L7" s="25">
        <f>Авиация!L7/Авиация!L9</f>
        <v>84.52403333960018</v>
      </c>
      <c r="M7" s="25">
        <f>Авиация!M7/Авиация!M9</f>
        <v>84.330453214245253</v>
      </c>
      <c r="N7" s="25">
        <f>Авиация!N7/Авиация!N9</f>
        <v>83.792545756584474</v>
      </c>
      <c r="O7" s="25">
        <f>Авиация!O7/Авиация!O9</f>
        <v>83.406819517930629</v>
      </c>
      <c r="P7" s="25">
        <f>Авиация!P7/Авиация!P9</f>
        <v>83.240756431741005</v>
      </c>
      <c r="Q7" s="25">
        <f>Авиация!Q7/Авиация!Q9</f>
        <v>82.889030504632402</v>
      </c>
      <c r="R7" s="25">
        <f>Авиация!R7/Авиация!R9</f>
        <v>82.538790762093754</v>
      </c>
      <c r="S7" s="25">
        <f>Авиация!S7/Авиация!S9</f>
        <v>82.190030924393042</v>
      </c>
    </row>
    <row r="8" spans="1:19" ht="25.15" customHeight="1" outlineLevel="2" x14ac:dyDescent="0.25">
      <c r="A8" s="3" t="s">
        <v>9</v>
      </c>
      <c r="B8" s="23" t="s">
        <v>70</v>
      </c>
      <c r="C8" s="4" t="s">
        <v>21</v>
      </c>
      <c r="D8" s="12">
        <f>Авиация!D14/Авиация!D16</f>
        <v>58.044221914467997</v>
      </c>
      <c r="E8" s="12">
        <f>Авиация!E14/Авиация!E16</f>
        <v>56.703339772122845</v>
      </c>
      <c r="F8" s="12">
        <f>Авиация!F14/Авиация!F16</f>
        <v>56.541532768526629</v>
      </c>
      <c r="G8" s="12">
        <f>Авиация!G14/Авиация!G16</f>
        <v>56.452463859871266</v>
      </c>
      <c r="H8" s="12">
        <f>Авиация!H14/Авиация!H16</f>
        <v>56.255144032921805</v>
      </c>
      <c r="I8" s="12">
        <f>Авиация!I14/Авиация!I16</f>
        <v>56.167389968888095</v>
      </c>
      <c r="J8" s="12">
        <f>Авиация!J14/Авиация!J16</f>
        <v>79.53146317926192</v>
      </c>
      <c r="K8" s="12">
        <f>Авиация!K14/Авиация!K16</f>
        <v>80.747955747955743</v>
      </c>
      <c r="L8" s="12">
        <f>Авиация!L14/Авиация!L16</f>
        <v>80.658679143527635</v>
      </c>
      <c r="M8" s="12">
        <f>Авиация!M14/Авиация!M16</f>
        <v>72.26856679411425</v>
      </c>
      <c r="N8" s="12">
        <f>Авиация!N14/Авиация!N16</f>
        <v>80.046760419567434</v>
      </c>
      <c r="O8" s="12">
        <f>Авиация!O14/Авиация!O16</f>
        <v>79.5750398925002</v>
      </c>
      <c r="P8" s="12">
        <f>Авиация!P14/Авиация!P16</f>
        <v>79.377327062512251</v>
      </c>
      <c r="Q8" s="12">
        <f>Авиация!Q14/Авиация!Q16</f>
        <v>79.106005892348051</v>
      </c>
      <c r="R8" s="12">
        <f>Авиация!R14/Авиация!R16</f>
        <v>78.835612130300305</v>
      </c>
      <c r="S8" s="12">
        <f>Авиация!S14/Авиация!S16</f>
        <v>78.566142606377454</v>
      </c>
    </row>
    <row r="9" spans="1:19" ht="25.15" customHeight="1" outlineLevel="2" x14ac:dyDescent="0.25">
      <c r="A9" s="3" t="s">
        <v>30</v>
      </c>
      <c r="B9" s="2" t="s">
        <v>71</v>
      </c>
      <c r="C9" s="4" t="s">
        <v>21</v>
      </c>
      <c r="D9" s="12">
        <f>Авиация!D20/Авиация!D22</f>
        <v>59.285475952142619</v>
      </c>
      <c r="E9" s="12">
        <f>Авиация!E20/Авиация!E22</f>
        <v>57.432279654501876</v>
      </c>
      <c r="F9" s="12">
        <f>Авиация!F20/Авиация!F22</f>
        <v>56.988536155202823</v>
      </c>
      <c r="G9" s="12">
        <f>Авиация!G20/Авиация!G22</f>
        <v>57.004283194759381</v>
      </c>
      <c r="H9" s="12">
        <f>Авиация!H20/Авиация!H22</f>
        <v>57.473032279233827</v>
      </c>
      <c r="I9" s="12">
        <f>Авиация!I20/Авиация!I22</f>
        <v>56.216931216931215</v>
      </c>
      <c r="J9" s="12">
        <f>Авиация!J20/Авиация!J22</f>
        <v>81.569664902998227</v>
      </c>
      <c r="K9" s="12">
        <f>Авиация!K20/Авиация!K22</f>
        <v>82.218072414150839</v>
      </c>
      <c r="L9" s="12">
        <f>Авиация!L20/Авиация!L22</f>
        <v>83.896727415245934</v>
      </c>
      <c r="M9" s="12">
        <f>Авиация!M20/Авиация!M22</f>
        <v>84.104938271604937</v>
      </c>
      <c r="N9" s="12">
        <f>Авиация!N20/Авиация!N22</f>
        <v>83.774250440917086</v>
      </c>
      <c r="O9" s="12">
        <f>Авиация!O20/Авиация!O22</f>
        <v>83.314961787184004</v>
      </c>
      <c r="P9" s="12">
        <f>Авиация!P20/Авиация!P22</f>
        <v>81.230497897164568</v>
      </c>
      <c r="Q9" s="12">
        <f>Авиация!Q20/Авиация!Q22</f>
        <v>81.034411065818048</v>
      </c>
      <c r="R9" s="12">
        <f>Авиация!R20/Авиация!R22</f>
        <v>80.838797579414916</v>
      </c>
      <c r="S9" s="12">
        <f>Авиация!S20/Авиация!S22</f>
        <v>80.643656295321378</v>
      </c>
    </row>
    <row r="10" spans="1:19" ht="25.15" customHeight="1" outlineLevel="2" x14ac:dyDescent="0.25">
      <c r="A10" s="3" t="s">
        <v>76</v>
      </c>
      <c r="B10" s="2" t="s">
        <v>72</v>
      </c>
      <c r="C10" s="4" t="s">
        <v>21</v>
      </c>
      <c r="D10" s="12">
        <f>Авиация!D26/Авиация!D28</f>
        <v>45.56143445032334</v>
      </c>
      <c r="E10" s="12">
        <f>Авиация!E26/Авиация!E28</f>
        <v>46.296296296296291</v>
      </c>
      <c r="F10" s="12">
        <f>Авиация!F26/Авиация!F28</f>
        <v>47.398589065255734</v>
      </c>
      <c r="G10" s="12">
        <f>Авиация!G26/Авиация!G28</f>
        <v>49.603174603174601</v>
      </c>
      <c r="H10" s="12">
        <f>Авиация!H26/Авиация!H28</f>
        <v>44.091710758377431</v>
      </c>
      <c r="I10" s="12">
        <f>Авиация!I26/Авиация!I28</f>
        <v>46.296296296296291</v>
      </c>
      <c r="J10" s="12">
        <f>Авиация!J26/Авиация!J28</f>
        <v>56.584362139917694</v>
      </c>
      <c r="K10" s="12">
        <f>Авиация!K26/Авиация!K28</f>
        <v>60.993533215755441</v>
      </c>
      <c r="L10" s="12">
        <f>Авиация!L26/Авиация!L28</f>
        <v>66.137566137566139</v>
      </c>
      <c r="M10" s="12">
        <f>Авиация!M26/Авиация!M28</f>
        <v>72.016460905349803</v>
      </c>
      <c r="N10" s="12">
        <f>Авиация!N26/Авиация!N28</f>
        <v>61.17724867724867</v>
      </c>
      <c r="O10" s="12">
        <f>Авиация!O26/Авиация!O28</f>
        <v>66.688712522045847</v>
      </c>
      <c r="P10" s="12">
        <f>Авиация!P26/Авиация!P28</f>
        <v>71.097883597883595</v>
      </c>
      <c r="Q10" s="12">
        <f>Авиация!Q26/Авиация!Q28</f>
        <v>73.311355470264516</v>
      </c>
      <c r="R10" s="12">
        <f>Авиация!R26/Авиация!R28</f>
        <v>75.593738785319758</v>
      </c>
      <c r="S10" s="12">
        <f>Авиация!S26/Авиация!S28</f>
        <v>77.947178945026522</v>
      </c>
    </row>
    <row r="11" spans="1:19" ht="25.15" customHeight="1" outlineLevel="2" x14ac:dyDescent="0.25">
      <c r="A11" s="3" t="s">
        <v>77</v>
      </c>
      <c r="B11" s="2" t="s">
        <v>73</v>
      </c>
      <c r="C11" s="4" t="s">
        <v>21</v>
      </c>
      <c r="D11" s="12">
        <f>Авиация!D32/Авиация!D34</f>
        <v>60.042535532731605</v>
      </c>
      <c r="E11" s="12">
        <f>Авиация!E32/Авиация!E34</f>
        <v>57.319223985890652</v>
      </c>
      <c r="F11" s="12">
        <f>Авиация!F32/Авиация!F34</f>
        <v>56.158915808038614</v>
      </c>
      <c r="G11" s="12">
        <f>Авиация!G32/Авиация!G34</f>
        <v>58.827624617098309</v>
      </c>
      <c r="H11" s="12">
        <f>Авиация!H32/Авиация!H34</f>
        <v>57.870370370370367</v>
      </c>
      <c r="I11" s="12">
        <f>Авиация!I32/Авиация!I34</f>
        <v>57.319223985890659</v>
      </c>
      <c r="J11" s="12">
        <f>Авиация!J32/Авиация!J34</f>
        <v>79.805996472663139</v>
      </c>
      <c r="K11" s="12">
        <f>Авиация!K32/Авиация!K34</f>
        <v>86.199294532627874</v>
      </c>
      <c r="L11" s="12">
        <f>Авиация!L32/Авиация!L34</f>
        <v>82.571749238415904</v>
      </c>
      <c r="M11" s="12">
        <f>Авиация!M32/Авиация!M34</f>
        <v>81.018518518518519</v>
      </c>
      <c r="N11" s="12">
        <f>Авиация!N32/Авиация!N34</f>
        <v>87.44855967078189</v>
      </c>
      <c r="O11" s="12">
        <f>Авиация!O32/Авиация!O34</f>
        <v>86.148419481752811</v>
      </c>
      <c r="P11" s="12">
        <f>Авиация!P32/Авиация!P34</f>
        <v>84.561602418745295</v>
      </c>
      <c r="Q11" s="12">
        <f>Авиация!Q32/Авиация!Q34</f>
        <v>84.237816798485767</v>
      </c>
      <c r="R11" s="12">
        <f>Авиация!R32/Авиация!R34</f>
        <v>83.915270950473783</v>
      </c>
      <c r="S11" s="12">
        <f>Авиация!S32/Авиация!S34</f>
        <v>83.593960127632499</v>
      </c>
    </row>
    <row r="12" spans="1:19" ht="25.15" customHeight="1" outlineLevel="2" x14ac:dyDescent="0.25">
      <c r="A12" s="3" t="s">
        <v>78</v>
      </c>
      <c r="B12" s="2" t="s">
        <v>74</v>
      </c>
      <c r="C12" s="4" t="s">
        <v>21</v>
      </c>
      <c r="D12" s="12">
        <f>Авиация!D38/Авиация!D40</f>
        <v>68.893298059964721</v>
      </c>
      <c r="E12" s="12">
        <f>Авиация!E38/Авиация!E40</f>
        <v>67.139650472983803</v>
      </c>
      <c r="F12" s="12">
        <f>Авиация!F38/Авиация!F40</f>
        <v>65.318720080624843</v>
      </c>
      <c r="G12" s="12">
        <f>Авиация!G38/Авиация!G40</f>
        <v>66.688712522045861</v>
      </c>
      <c r="H12" s="12">
        <f>Авиация!H38/Авиация!H40</f>
        <v>65.383365821962315</v>
      </c>
      <c r="I12" s="12">
        <f>Авиация!I38/Авиация!I40</f>
        <v>65.557412048640117</v>
      </c>
      <c r="J12" s="12">
        <f>Авиация!J38/Авиация!J40</f>
        <v>92.592592592592595</v>
      </c>
      <c r="K12" s="12">
        <f>Авиация!K38/Авиация!K40</f>
        <v>96.653671215074723</v>
      </c>
      <c r="L12" s="12">
        <f>Авиация!L38/Авиация!L40</f>
        <v>96.436485325374207</v>
      </c>
      <c r="M12" s="12">
        <f>Авиация!M38/Авиация!M40</f>
        <v>94.902158394221885</v>
      </c>
      <c r="N12" s="12">
        <f>Авиация!N38/Авиация!N40</f>
        <v>96.75680971977269</v>
      </c>
      <c r="O12" s="12">
        <f>Авиация!O38/Авиация!O40</f>
        <v>96.236907461397251</v>
      </c>
      <c r="P12" s="12">
        <f>Авиация!P38/Авиация!P40</f>
        <v>95.4755121421788</v>
      </c>
      <c r="Q12" s="12">
        <f>Авиация!Q38/Авиация!Q40</f>
        <v>95.241609299461018</v>
      </c>
      <c r="R12" s="12">
        <f>Авиация!R38/Авиация!R40</f>
        <v>95.00827948891245</v>
      </c>
      <c r="S12" s="12">
        <f>Авиация!S38/Авиация!S40</f>
        <v>94.775521306677305</v>
      </c>
    </row>
    <row r="13" spans="1:19" ht="25.15" customHeight="1" outlineLevel="2" x14ac:dyDescent="0.25">
      <c r="A13" s="3" t="s">
        <v>79</v>
      </c>
      <c r="B13" s="2" t="s">
        <v>75</v>
      </c>
      <c r="C13" s="4" t="s">
        <v>21</v>
      </c>
      <c r="D13" s="12">
        <f>Авиация!D44/Авиация!D46</f>
        <v>77.808901338313106</v>
      </c>
      <c r="E13" s="12">
        <f>Авиация!E44/Авиация!E46</f>
        <v>74.710954340583967</v>
      </c>
      <c r="F13" s="12">
        <f>Авиация!F44/Авиация!F46</f>
        <v>74.479241145907807</v>
      </c>
      <c r="G13" s="12">
        <f>Авиация!G44/Авиация!G46</f>
        <v>74.051462940351826</v>
      </c>
      <c r="H13" s="12">
        <f>Авиация!H44/Авиация!H46</f>
        <v>74.203122983610797</v>
      </c>
      <c r="I13" s="12">
        <f>Авиация!I44/Авиация!I46</f>
        <v>74.616741283407947</v>
      </c>
      <c r="J13" s="12">
        <f>Авиация!J44/Авиация!J46</f>
        <v>104.71781305114638</v>
      </c>
      <c r="K13" s="12">
        <f>Авиация!K44/Авиация!K46</f>
        <v>118.49647266313931</v>
      </c>
      <c r="L13" s="12">
        <f>Авиация!L44/Авиация!L46</f>
        <v>102.73368606701941</v>
      </c>
      <c r="M13" s="12">
        <f>Авиация!M44/Авиация!M46</f>
        <v>104.93827160493828</v>
      </c>
      <c r="N13" s="12">
        <f>Авиация!N44/Авиация!N46</f>
        <v>107.58377425044091</v>
      </c>
      <c r="O13" s="12">
        <f>Авиация!O44/Авиация!O46</f>
        <v>109.78835978835978</v>
      </c>
      <c r="P13" s="12">
        <f>Авиация!P44/Авиация!P46</f>
        <v>111.99294532627866</v>
      </c>
      <c r="Q13" s="12">
        <f>Авиация!Q44/Авиация!Q46</f>
        <v>110.73571525036697</v>
      </c>
      <c r="R13" s="12">
        <f>Авиация!R44/Авиация!R46</f>
        <v>109.49259880865939</v>
      </c>
      <c r="S13" s="12">
        <f>Авиация!S44/Авиация!S46</f>
        <v>108.26343756184218</v>
      </c>
    </row>
    <row r="14" spans="1:19" ht="25.15" customHeight="1" outlineLevel="1" x14ac:dyDescent="0.25">
      <c r="A14" s="3"/>
      <c r="B14" s="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s="13" customFormat="1" ht="25.15" customHeight="1" outlineLevel="1" x14ac:dyDescent="0.25">
      <c r="A15" s="20">
        <f>A7+1</f>
        <v>3</v>
      </c>
      <c r="B15" s="21" t="s">
        <v>69</v>
      </c>
      <c r="C15" s="22" t="s">
        <v>21</v>
      </c>
      <c r="D15" s="25">
        <f>Промышленность!D7/Промышленность!D9</f>
        <v>22.628943861820574</v>
      </c>
      <c r="E15" s="25">
        <f>Промышленность!E7/Промышленность!E9</f>
        <v>21.782359099756174</v>
      </c>
      <c r="F15" s="25">
        <f>Промышленность!F7/Промышленность!F9</f>
        <v>21.680885715973435</v>
      </c>
      <c r="G15" s="25">
        <f>Промышленность!G7/Промышленность!G9</f>
        <v>21.223072562358276</v>
      </c>
      <c r="H15" s="25">
        <f>Промышленность!H7/Промышленность!H9</f>
        <v>21.152540816224025</v>
      </c>
      <c r="I15" s="25">
        <f>Промышленность!I7/Промышленность!I9</f>
        <v>20.968555956828041</v>
      </c>
      <c r="J15" s="25">
        <f>Промышленность!J7/Промышленность!J9</f>
        <v>29.355711895394432</v>
      </c>
      <c r="K15" s="25">
        <f>Промышленность!K7/Промышленность!K9</f>
        <v>30.838004435364169</v>
      </c>
      <c r="L15" s="25">
        <f>Промышленность!L7/Промышленность!L9</f>
        <v>30.775358064054071</v>
      </c>
      <c r="M15" s="25">
        <f>Промышленность!M7/Промышленность!M9</f>
        <v>30.667219769783873</v>
      </c>
      <c r="N15" s="25">
        <f>Промышленность!N7/Промышленность!N9</f>
        <v>30.550754872460303</v>
      </c>
      <c r="O15" s="25">
        <f>Промышленность!O7/Промышленность!O9</f>
        <v>30.460414994492453</v>
      </c>
      <c r="P15" s="25">
        <f>Промышленность!P7/Промышленность!P9</f>
        <v>30.363487965827144</v>
      </c>
      <c r="Q15" s="25">
        <f>Промышленность!Q7/Промышленность!Q9</f>
        <v>30.269464480823377</v>
      </c>
      <c r="R15" s="25">
        <f>Промышленность!R7/Промышленность!R9</f>
        <v>30.175732148658909</v>
      </c>
      <c r="S15" s="25">
        <f>Промышленность!S7/Промышленность!S9</f>
        <v>30.082290067750741</v>
      </c>
    </row>
    <row r="16" spans="1:19" s="13" customFormat="1" ht="25.15" customHeight="1" outlineLevel="2" x14ac:dyDescent="0.25">
      <c r="A16" s="14" t="s">
        <v>12</v>
      </c>
      <c r="B16" s="10" t="s">
        <v>80</v>
      </c>
      <c r="C16" s="4" t="s">
        <v>21</v>
      </c>
      <c r="D16" s="12">
        <f>Промышленность!D14/Промышленность!D16</f>
        <v>19.841269841269842</v>
      </c>
      <c r="E16" s="12">
        <f>Промышленность!E14/Промышленность!E16</f>
        <v>19.316368522717728</v>
      </c>
      <c r="F16" s="12">
        <f>Промышленность!F14/Промышленность!F16</f>
        <v>19.736289577559418</v>
      </c>
      <c r="G16" s="12">
        <f>Промышленность!G14/Промышленность!G16</f>
        <v>18.187830687830687</v>
      </c>
      <c r="H16" s="12">
        <f>Промышленность!H14/Промышленность!H16</f>
        <v>18.34215167548501</v>
      </c>
      <c r="I16" s="12">
        <f>Промышленность!I14/Промышленность!I16</f>
        <v>18.40349666436623</v>
      </c>
      <c r="J16" s="12">
        <f>Промышленность!J14/Промышленность!J16</f>
        <v>26.115859449192783</v>
      </c>
      <c r="K16" s="12">
        <f>Промышленность!K14/Промышленность!K16</f>
        <v>27.321113630637445</v>
      </c>
      <c r="L16" s="12">
        <f>Промышленность!L14/Промышленность!L16</f>
        <v>26.895943562610231</v>
      </c>
      <c r="M16" s="12">
        <f>Промышленность!M14/Промышленность!M16</f>
        <v>27.237298742675083</v>
      </c>
      <c r="N16" s="12">
        <f>Промышленность!N14/Промышленность!N16</f>
        <v>26.789054566832345</v>
      </c>
      <c r="O16" s="12">
        <f>Промышленность!O14/Промышленность!O16</f>
        <v>26.518014613252706</v>
      </c>
      <c r="P16" s="12">
        <f>Промышленность!P14/Промышленность!P16</f>
        <v>26.335859669193002</v>
      </c>
      <c r="Q16" s="12">
        <f>Промышленность!Q14/Промышленность!Q16</f>
        <v>26.143114184569828</v>
      </c>
      <c r="R16" s="12">
        <f>Промышленность!R14/Промышленность!R16</f>
        <v>25.951779355315768</v>
      </c>
      <c r="S16" s="12">
        <f>Промышленность!S14/Промышленность!S16</f>
        <v>25.761844857201574</v>
      </c>
    </row>
    <row r="17" spans="1:19" s="13" customFormat="1" ht="25.15" customHeight="1" outlineLevel="2" x14ac:dyDescent="0.25">
      <c r="A17" s="14" t="s">
        <v>34</v>
      </c>
      <c r="B17" s="10" t="s">
        <v>81</v>
      </c>
      <c r="C17" s="4" t="s">
        <v>21</v>
      </c>
      <c r="D17" s="12">
        <f>Промышленность!D20/Промышленность!D22</f>
        <v>22.277917014759122</v>
      </c>
      <c r="E17" s="12">
        <f>Промышленность!E20/Промышленность!E22</f>
        <v>21.585865521404113</v>
      </c>
      <c r="F17" s="12">
        <f>Промышленность!F20/Промышленность!F22</f>
        <v>21.535036778939219</v>
      </c>
      <c r="G17" s="12">
        <f>Промышленность!G20/Промышленность!G22</f>
        <v>20.582426007122649</v>
      </c>
      <c r="H17" s="12">
        <f>Промышленность!H20/Промышленность!H22</f>
        <v>20.443638008693771</v>
      </c>
      <c r="I17" s="12">
        <f>Промышленность!I20/Промышленность!I22</f>
        <v>20.366489764567657</v>
      </c>
      <c r="J17" s="12">
        <f>Промышленность!J20/Промышленность!J22</f>
        <v>28.495137892555395</v>
      </c>
      <c r="K17" s="12">
        <f>Промышленность!K20/Промышленность!K22</f>
        <v>29.912412877302344</v>
      </c>
      <c r="L17" s="12">
        <f>Промышленность!L20/Промышленность!L22</f>
        <v>29.835029835029832</v>
      </c>
      <c r="M17" s="12">
        <f>Промышленность!M20/Промышленность!M22</f>
        <v>29.764523034515115</v>
      </c>
      <c r="N17" s="12">
        <f>Промышленность!N20/Промышленность!N22</f>
        <v>29.658289241622576</v>
      </c>
      <c r="O17" s="12">
        <f>Промышленность!O20/Промышленность!O22</f>
        <v>29.568763434526588</v>
      </c>
      <c r="P17" s="12">
        <f>Промышленность!P20/Промышленность!P22</f>
        <v>29.478737997256513</v>
      </c>
      <c r="Q17" s="12">
        <f>Промышленность!Q20/Промышленность!Q22</f>
        <v>29.392760455875518</v>
      </c>
      <c r="R17" s="12">
        <f>Промышленность!R20/Промышленность!R22</f>
        <v>29.307033676166288</v>
      </c>
      <c r="S17" s="12">
        <f>Промышленность!S20/Промышленность!S22</f>
        <v>29.221556926758584</v>
      </c>
    </row>
    <row r="18" spans="1:19" s="13" customFormat="1" ht="25.15" customHeight="1" outlineLevel="2" x14ac:dyDescent="0.25">
      <c r="A18" s="14" t="s">
        <v>87</v>
      </c>
      <c r="B18" s="10" t="s">
        <v>82</v>
      </c>
      <c r="C18" s="4" t="s">
        <v>21</v>
      </c>
      <c r="D18" s="12">
        <f>Промышленность!D26/Промышленность!D28</f>
        <v>22.688295950054638</v>
      </c>
      <c r="E18" s="12">
        <f>Промышленность!E26/Промышленность!E28</f>
        <v>22.039483744686056</v>
      </c>
      <c r="F18" s="12">
        <f>Промышленность!F26/Промышленность!F28</f>
        <v>21.990740740740744</v>
      </c>
      <c r="G18" s="12">
        <f>Промышленность!G26/Промышленность!G28</f>
        <v>21.9671201814059</v>
      </c>
      <c r="H18" s="12">
        <f>Промышленность!H26/Промышленность!H28</f>
        <v>21.904897224590322</v>
      </c>
      <c r="I18" s="12">
        <f>Промышленность!I26/Промышленность!I28</f>
        <v>21.876271876271876</v>
      </c>
      <c r="J18" s="12">
        <f>Промышленность!J26/Промышленность!J28</f>
        <v>30.671046532073721</v>
      </c>
      <c r="K18" s="12">
        <f>Промышленность!K26/Промышленность!K28</f>
        <v>32.202072659416551</v>
      </c>
      <c r="L18" s="12">
        <f>Промышленность!L26/Промышленность!L28</f>
        <v>32.097907199285949</v>
      </c>
      <c r="M18" s="12">
        <f>Промышленность!M26/Промышленность!M28</f>
        <v>30.188191896811269</v>
      </c>
      <c r="N18" s="12">
        <f>Промышленность!N26/Промышленность!N28</f>
        <v>28.616572362053201</v>
      </c>
      <c r="O18" s="12">
        <f>Промышленность!O26/Промышленность!O28</f>
        <v>31.825868588557206</v>
      </c>
      <c r="P18" s="12">
        <f>Промышленность!P26/Промышленность!P28</f>
        <v>31.699528769841269</v>
      </c>
      <c r="Q18" s="12">
        <f>Промышленность!Q26/Промышленность!Q28</f>
        <v>31.599965057120507</v>
      </c>
      <c r="R18" s="12">
        <f>Промышленность!R26/Промышленность!R28</f>
        <v>31.500714059865096</v>
      </c>
      <c r="S18" s="12">
        <f>Промышленность!S26/Промышленность!S28</f>
        <v>31.401774795880229</v>
      </c>
    </row>
    <row r="19" spans="1:19" s="13" customFormat="1" ht="25.15" customHeight="1" outlineLevel="2" x14ac:dyDescent="0.25">
      <c r="A19" s="14" t="s">
        <v>88</v>
      </c>
      <c r="B19" s="10" t="s">
        <v>83</v>
      </c>
      <c r="C19" s="4" t="s">
        <v>21</v>
      </c>
      <c r="D19" s="12">
        <f>Промышленность!D32/Промышленность!D34</f>
        <v>25.745075180103427</v>
      </c>
      <c r="E19" s="12">
        <f>Промышленность!E32/Промышленность!E34</f>
        <v>24.89048187972919</v>
      </c>
      <c r="F19" s="12">
        <f>Промышленность!F32/Промышленность!F34</f>
        <v>24.801587301587301</v>
      </c>
      <c r="G19" s="12">
        <f>Промышленность!G32/Промышленность!G34</f>
        <v>24.776909105267311</v>
      </c>
      <c r="H19" s="12">
        <f>Промышленность!H32/Промышленность!H34</f>
        <v>25.069286974048875</v>
      </c>
      <c r="I19" s="12">
        <f>Промышленность!I32/Промышленность!I34</f>
        <v>24.80934992672082</v>
      </c>
      <c r="J19" s="12">
        <f>Промышленность!J32/Промышленность!J34</f>
        <v>34.804894179894177</v>
      </c>
      <c r="K19" s="12">
        <f>Промышленность!K32/Промышленность!K34</f>
        <v>36.632008531233339</v>
      </c>
      <c r="L19" s="12">
        <f>Промышленность!L32/Промышленность!L34</f>
        <v>36.533131771227019</v>
      </c>
      <c r="M19" s="12">
        <f>Промышленность!M32/Промышленность!M34</f>
        <v>36.260839212228099</v>
      </c>
      <c r="N19" s="12">
        <f>Промышленность!N32/Промышленность!N34</f>
        <v>36.155202821869494</v>
      </c>
      <c r="O19" s="12">
        <f>Промышленность!O32/Промышленность!O34</f>
        <v>36.279344531771713</v>
      </c>
      <c r="P19" s="12">
        <f>Промышленность!P32/Промышленность!P34</f>
        <v>36.015098320394273</v>
      </c>
      <c r="Q19" s="12">
        <f>Промышленность!Q32/Промышленность!Q34</f>
        <v>35.892968626949511</v>
      </c>
      <c r="R19" s="12">
        <f>Промышленность!R32/Промышленность!R34</f>
        <v>35.771253083756065</v>
      </c>
      <c r="S19" s="12">
        <f>Промышленность!S32/Промышленность!S34</f>
        <v>35.649950286401761</v>
      </c>
    </row>
    <row r="20" spans="1:19" s="13" customFormat="1" ht="25.15" customHeight="1" outlineLevel="2" x14ac:dyDescent="0.25">
      <c r="A20" s="14" t="s">
        <v>89</v>
      </c>
      <c r="B20" s="10" t="s">
        <v>84</v>
      </c>
      <c r="C20" s="4" t="s">
        <v>21</v>
      </c>
      <c r="D20" s="12">
        <f>Промышленность!D38/Промышленность!D40</f>
        <v>20.516142965122555</v>
      </c>
      <c r="E20" s="12">
        <f>Промышленность!E38/Промышленность!E40</f>
        <v>20.010853344186678</v>
      </c>
      <c r="F20" s="12">
        <f>Промышленность!F38/Промышленность!F40</f>
        <v>19.780031354105429</v>
      </c>
      <c r="G20" s="12">
        <f>Промышленность!G38/Промышленность!G40</f>
        <v>19.821586041824141</v>
      </c>
      <c r="H20" s="12">
        <f>Промышленность!H38/Промышленность!H40</f>
        <v>19.841269841269842</v>
      </c>
      <c r="I20" s="12">
        <f>Промышленность!I38/Промышленность!I40</f>
        <v>19.694297472075249</v>
      </c>
      <c r="J20" s="12">
        <f>Промышленность!J38/Промышленность!J40</f>
        <v>27.603894974786996</v>
      </c>
      <c r="K20" s="12">
        <f>Промышленность!K38/Промышленность!K40</f>
        <v>29.057859703020995</v>
      </c>
      <c r="L20" s="12">
        <f>Промышленность!L38/Промышленность!L40</f>
        <v>28.916588221291697</v>
      </c>
      <c r="M20" s="12">
        <f>Промышленность!M38/Промышленность!M40</f>
        <v>28.867102396514163</v>
      </c>
      <c r="N20" s="12">
        <f>Промышленность!N38/Промышленность!N40</f>
        <v>28.671997304956104</v>
      </c>
      <c r="O20" s="12">
        <f>Промышленность!O38/Промышленность!O40</f>
        <v>28.659611992945326</v>
      </c>
      <c r="P20" s="12">
        <f>Промышленность!P38/Промышленность!P40</f>
        <v>28.476848425034952</v>
      </c>
      <c r="Q20" s="12">
        <f>Промышленность!Q38/Промышленность!Q40</f>
        <v>28.362047747245168</v>
      </c>
      <c r="R20" s="12">
        <f>Промышленность!R38/Промышленность!R40</f>
        <v>28.247709873324137</v>
      </c>
      <c r="S20" s="12">
        <f>Промышленность!S38/Промышленность!S40</f>
        <v>28.133832937538791</v>
      </c>
    </row>
    <row r="21" spans="1:19" s="13" customFormat="1" ht="25.15" customHeight="1" outlineLevel="2" x14ac:dyDescent="0.25">
      <c r="A21" s="14" t="s">
        <v>90</v>
      </c>
      <c r="B21" s="10" t="s">
        <v>85</v>
      </c>
      <c r="C21" s="4" t="s">
        <v>21</v>
      </c>
      <c r="D21" s="12">
        <f>Промышленность!D44/Промышленность!D46</f>
        <v>25.553150553150552</v>
      </c>
      <c r="E21" s="12">
        <f>Промышленность!E44/Промышленность!E46</f>
        <v>22.187174964952742</v>
      </c>
      <c r="F21" s="12">
        <f>Промышленность!F44/Промышленность!F46</f>
        <v>21.615692347399669</v>
      </c>
      <c r="G21" s="12">
        <f>Промышленность!G44/Промышленность!G46</f>
        <v>21.4562569213732</v>
      </c>
      <c r="H21" s="12">
        <f>Промышленность!H44/Промышленность!H46</f>
        <v>21.310993533215758</v>
      </c>
      <c r="I21" s="12">
        <f>Промышленность!I44/Промышленность!I46</f>
        <v>21.23929969458425</v>
      </c>
      <c r="J21" s="12">
        <f>Промышленность!J44/Промышленность!J46</f>
        <v>30.071537562174267</v>
      </c>
      <c r="K21" s="12">
        <f>Промышленность!K44/Промышленность!K46</f>
        <v>31.886943398970896</v>
      </c>
      <c r="L21" s="12">
        <f>Промышленность!L44/Промышленность!L46</f>
        <v>31.902896486229821</v>
      </c>
      <c r="M21" s="12">
        <f>Промышленность!M44/Промышленность!M46</f>
        <v>31.468995333302122</v>
      </c>
      <c r="N21" s="12">
        <f>Промышленность!N44/Промышленность!N46</f>
        <v>31.764403292181072</v>
      </c>
      <c r="O21" s="12">
        <f>Промышленность!O44/Промышленность!O46</f>
        <v>31.462340893865438</v>
      </c>
      <c r="P21" s="12">
        <f>Промышленность!P44/Промышленность!P46</f>
        <v>31.523964005715833</v>
      </c>
      <c r="Q21" s="12">
        <f>Промышленность!Q44/Промышленность!Q46</f>
        <v>31.451865469365146</v>
      </c>
      <c r="R21" s="12">
        <f>Промышленность!R44/Промышленность!R46</f>
        <v>31.379931829755964</v>
      </c>
      <c r="S21" s="12">
        <f>Промышленность!S44/Промышленность!S46</f>
        <v>31.308162709752544</v>
      </c>
    </row>
    <row r="22" spans="1:19" ht="25.15" customHeight="1" outlineLevel="1" x14ac:dyDescent="0.25">
      <c r="A22" s="3"/>
      <c r="B22" s="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s="13" customFormat="1" ht="25.15" customHeight="1" outlineLevel="1" x14ac:dyDescent="0.25">
      <c r="A23" s="20" t="s">
        <v>86</v>
      </c>
      <c r="B23" s="21" t="s">
        <v>15</v>
      </c>
      <c r="C23" s="22" t="s">
        <v>21</v>
      </c>
      <c r="D23" s="25">
        <f>Спорт!D7/Спорт!D9</f>
        <v>28.010408889754491</v>
      </c>
      <c r="E23" s="25">
        <f>Спорт!E7/Спорт!E9</f>
        <v>26.595202414084877</v>
      </c>
      <c r="F23" s="25">
        <f>Спорт!F7/Спорт!F9</f>
        <v>26.430255831004896</v>
      </c>
      <c r="G23" s="25">
        <f>Спорт!G7/Спорт!G9</f>
        <v>25.491970667409266</v>
      </c>
      <c r="H23" s="25">
        <f>Спорт!H7/Спорт!H9</f>
        <v>25.244665767541587</v>
      </c>
      <c r="I23" s="25">
        <f>Спорт!I7/Спорт!I9</f>
        <v>25.329769253380363</v>
      </c>
      <c r="J23" s="25">
        <f>Спорт!J7/Спорт!J9</f>
        <v>35.500008241441272</v>
      </c>
      <c r="K23" s="25">
        <f>Спорт!K7/Спорт!K9</f>
        <v>37.094954114728125</v>
      </c>
      <c r="L23" s="25">
        <f>Спорт!L7/Спорт!L9</f>
        <v>36.956714928291156</v>
      </c>
      <c r="M23" s="25">
        <f>Спорт!M7/Спорт!M9</f>
        <v>36.895313681027964</v>
      </c>
      <c r="N23" s="25">
        <f>Спорт!N7/Спорт!N9</f>
        <v>36.76255883761403</v>
      </c>
      <c r="O23" s="25">
        <f>Спорт!O7/Спорт!O9</f>
        <v>36.609686609686612</v>
      </c>
      <c r="P23" s="25">
        <f>Спорт!P7/Спорт!P9</f>
        <v>36.464351598451223</v>
      </c>
      <c r="Q23" s="25">
        <f>Спорт!Q7/Спорт!Q9</f>
        <v>36.33952337708979</v>
      </c>
      <c r="R23" s="25">
        <f>Спорт!R7/Спорт!R9</f>
        <v>36.215122479516268</v>
      </c>
      <c r="S23" s="25">
        <f>Спорт!S7/Спорт!S9</f>
        <v>36.091147442875382</v>
      </c>
    </row>
    <row r="24" spans="1:19" s="13" customFormat="1" ht="25.15" customHeight="1" outlineLevel="2" x14ac:dyDescent="0.25">
      <c r="A24" s="3" t="s">
        <v>14</v>
      </c>
      <c r="B24" s="10" t="s">
        <v>91</v>
      </c>
      <c r="C24" s="4" t="s">
        <v>21</v>
      </c>
      <c r="D24" s="12">
        <f>Спорт!D14/Спорт!D16</f>
        <v>28.527336860670196</v>
      </c>
      <c r="E24" s="12">
        <f>Спорт!E14/Спорт!E16</f>
        <v>27.684506851173516</v>
      </c>
      <c r="F24" s="12">
        <f>Спорт!F14/Спорт!F16</f>
        <v>27.31236527532824</v>
      </c>
      <c r="G24" s="12">
        <f>Спорт!G14/Спорт!G16</f>
        <v>26.76444196912033</v>
      </c>
      <c r="H24" s="12">
        <f>Спорт!H14/Спорт!H16</f>
        <v>26.419468623769696</v>
      </c>
      <c r="I24" s="12">
        <f>Спорт!I14/Спорт!I16</f>
        <v>26.67922159447583</v>
      </c>
      <c r="J24" s="12">
        <f>Спорт!J14/Спорт!J16</f>
        <v>37.344342899898457</v>
      </c>
      <c r="K24" s="12">
        <f>Спорт!K14/Спорт!K16</f>
        <v>39.169143050421589</v>
      </c>
      <c r="L24" s="12">
        <f>Спорт!L14/Спорт!L16</f>
        <v>39.103835978835981</v>
      </c>
      <c r="M24" s="12">
        <f>Спорт!M14/Спорт!M16</f>
        <v>39.125058282146412</v>
      </c>
      <c r="N24" s="12">
        <f>Спорт!N14/Спорт!N16</f>
        <v>38.823911630929182</v>
      </c>
      <c r="O24" s="12">
        <f>Спорт!O14/Спорт!O16</f>
        <v>38.947677836566726</v>
      </c>
      <c r="P24" s="12">
        <f>Спорт!P14/Спорт!P16</f>
        <v>38.72053872053872</v>
      </c>
      <c r="Q24" s="12">
        <f>Спорт!Q14/Спорт!Q16</f>
        <v>38.631436291369539</v>
      </c>
      <c r="R24" s="12">
        <f>Спорт!R14/Спорт!R16</f>
        <v>41.836397858495879</v>
      </c>
      <c r="S24" s="12">
        <f>Спорт!S14/Спорт!S16</f>
        <v>45.307251135401899</v>
      </c>
    </row>
    <row r="25" spans="1:19" s="13" customFormat="1" ht="25.15" customHeight="1" outlineLevel="2" x14ac:dyDescent="0.25">
      <c r="A25" s="3" t="s">
        <v>38</v>
      </c>
      <c r="B25" s="10" t="s">
        <v>92</v>
      </c>
      <c r="C25" s="4" t="s">
        <v>21</v>
      </c>
      <c r="D25" s="12">
        <f>Спорт!D20/Спорт!D22</f>
        <v>27.881522979562195</v>
      </c>
      <c r="E25" s="12">
        <f>Спорт!E20/Спорт!E22</f>
        <v>28.270567486253761</v>
      </c>
      <c r="F25" s="12">
        <f>Спорт!F20/Спорт!F22</f>
        <v>27.18988830099941</v>
      </c>
      <c r="G25" s="12">
        <f>Спорт!G20/Спорт!G22</f>
        <v>26.571057272811657</v>
      </c>
      <c r="H25" s="12">
        <f>Спорт!H20/Спорт!H22</f>
        <v>26.455026455026456</v>
      </c>
      <c r="I25" s="12">
        <f>Спорт!I20/Спорт!I22</f>
        <v>26.687088090596866</v>
      </c>
      <c r="J25" s="12">
        <f>Спорт!J20/Спорт!J22</f>
        <v>37.582934408331226</v>
      </c>
      <c r="K25" s="12">
        <f>Спорт!K20/Спорт!K22</f>
        <v>39.586688137412771</v>
      </c>
      <c r="L25" s="12">
        <f>Спорт!L20/Спорт!L22</f>
        <v>39.682539682539684</v>
      </c>
      <c r="M25" s="12">
        <f>Спорт!M20/Спорт!M22</f>
        <v>38.422776518014615</v>
      </c>
      <c r="N25" s="12">
        <f>Спорт!N20/Спорт!N22</f>
        <v>38.72721928277484</v>
      </c>
      <c r="O25" s="12">
        <f>Спорт!O20/Спорт!O22</f>
        <v>38.993606701940031</v>
      </c>
      <c r="P25" s="12">
        <f>Спорт!P20/Спорт!P22</f>
        <v>39.293495175848115</v>
      </c>
      <c r="Q25" s="12">
        <f>Спорт!Q20/Спорт!Q22</f>
        <v>39.235117678754264</v>
      </c>
      <c r="R25" s="12">
        <f>Спорт!R20/Спорт!R22</f>
        <v>39.176826911846966</v>
      </c>
      <c r="S25" s="12">
        <f>Спорт!S20/Спорт!S22</f>
        <v>39.118622746273054</v>
      </c>
    </row>
    <row r="26" spans="1:19" s="13" customFormat="1" ht="37.15" customHeight="1" outlineLevel="2" x14ac:dyDescent="0.25">
      <c r="A26" s="3" t="s">
        <v>95</v>
      </c>
      <c r="B26" s="10" t="s">
        <v>93</v>
      </c>
      <c r="C26" s="4" t="s">
        <v>21</v>
      </c>
      <c r="D26" s="12">
        <f>Спорт!D26/Спорт!D28</f>
        <v>28.659611992945322</v>
      </c>
      <c r="E26" s="12">
        <f>Спорт!E26/Спорт!E28</f>
        <v>26.455026455026456</v>
      </c>
      <c r="F26" s="12">
        <f>Спорт!F26/Спорт!F28</f>
        <v>27.006172839506171</v>
      </c>
      <c r="G26" s="12">
        <f>Спорт!G26/Спорт!G28</f>
        <v>27.557319223985889</v>
      </c>
      <c r="H26" s="12">
        <f>Спорт!H26/Спорт!H28</f>
        <v>26.455026455026456</v>
      </c>
      <c r="I26" s="12">
        <f>Спорт!I26/Спорт!I28</f>
        <v>27.006172839506171</v>
      </c>
      <c r="J26" s="12">
        <f>Спорт!J26/Спорт!J28</f>
        <v>38.495455162121829</v>
      </c>
      <c r="K26" s="12">
        <f>Спорт!K26/Спорт!K28</f>
        <v>40.154950869236586</v>
      </c>
      <c r="L26" s="12">
        <f>Спорт!L26/Спорт!L28</f>
        <v>39.682539682539684</v>
      </c>
      <c r="M26" s="12">
        <f>Спорт!M26/Спорт!M28</f>
        <v>39.131393298059962</v>
      </c>
      <c r="N26" s="12">
        <f>Спорт!N26/Спорт!N28</f>
        <v>38.645087664695509</v>
      </c>
      <c r="O26" s="12">
        <f>Спорт!O26/Спорт!O28</f>
        <v>38.090339016264942</v>
      </c>
      <c r="P26" s="12">
        <f>Спорт!P26/Спорт!P28</f>
        <v>39.682539682539684</v>
      </c>
      <c r="Q26" s="12">
        <f>Спорт!Q26/Спорт!Q28</f>
        <v>39.588726482131165</v>
      </c>
      <c r="R26" s="12">
        <f>Спорт!R26/Спорт!R28</f>
        <v>39.495135064820239</v>
      </c>
      <c r="S26" s="12">
        <f>Спорт!S26/Спорт!S28</f>
        <v>39.401764906291106</v>
      </c>
    </row>
    <row r="27" spans="1:19" s="13" customFormat="1" ht="25.15" customHeight="1" outlineLevel="1" x14ac:dyDescent="0.25">
      <c r="A27" s="3" t="s">
        <v>96</v>
      </c>
      <c r="B27" s="10" t="s">
        <v>94</v>
      </c>
      <c r="C27" s="4" t="s">
        <v>21</v>
      </c>
      <c r="D27" s="12">
        <f>Спорт!D32/Спорт!D34</f>
        <v>28.594771241830067</v>
      </c>
      <c r="E27" s="12">
        <f>Спорт!E32/Спорт!E34</f>
        <v>27.18988830099941</v>
      </c>
      <c r="F27" s="12">
        <f>Спорт!F32/Спорт!F34</f>
        <v>27.802273172643542</v>
      </c>
      <c r="G27" s="12">
        <f>Спорт!G32/Спорт!G34</f>
        <v>26.341970786415231</v>
      </c>
      <c r="H27" s="12">
        <f>Спорт!H32/Спорт!H34</f>
        <v>26.831419107841874</v>
      </c>
      <c r="I27" s="12">
        <f>Спорт!I32/Спорт!I34</f>
        <v>26.963776963776965</v>
      </c>
      <c r="J27" s="12">
        <f>Спорт!J32/Спорт!J34</f>
        <v>37.477954144620803</v>
      </c>
      <c r="K27" s="12">
        <f>Спорт!K32/Спорт!K34</f>
        <v>39.142641183457506</v>
      </c>
      <c r="L27" s="12">
        <f>Спорт!L32/Спорт!L34</f>
        <v>38.947677836566726</v>
      </c>
      <c r="M27" s="12">
        <f>Спорт!M32/Спорт!M34</f>
        <v>37.477954144620803</v>
      </c>
      <c r="N27" s="12">
        <f>Спорт!N32/Спорт!N34</f>
        <v>38.752480158730158</v>
      </c>
      <c r="O27" s="12">
        <f>Спорт!O32/Спорт!O34</f>
        <v>38.755974746312909</v>
      </c>
      <c r="P27" s="12">
        <f>Спорт!P32/Спорт!P34</f>
        <v>38.878163878163875</v>
      </c>
      <c r="Q27" s="12">
        <f>Спорт!Q32/Спорт!Q34</f>
        <v>38.825483245723049</v>
      </c>
      <c r="R27" s="12">
        <f>Спорт!R32/Спорт!R34</f>
        <v>38.772873996515315</v>
      </c>
      <c r="S27" s="12">
        <f>Спорт!S32/Спорт!S34</f>
        <v>38.72033603381508</v>
      </c>
    </row>
    <row r="28" spans="1:19" ht="25.15" customHeight="1" outlineLevel="1" x14ac:dyDescent="0.25">
      <c r="A28" s="3" t="s">
        <v>97</v>
      </c>
      <c r="B28" s="2" t="s">
        <v>85</v>
      </c>
      <c r="C28" s="4" t="s">
        <v>21</v>
      </c>
      <c r="D28" s="12">
        <f>Спорт!D38/Спорт!D40</f>
        <v>27.016979631358719</v>
      </c>
      <c r="E28" s="12">
        <f>Спорт!E38/Спорт!E40</f>
        <v>24.762219702695894</v>
      </c>
      <c r="F28" s="12">
        <f>Спорт!F38/Спорт!F40</f>
        <v>24.440491394514382</v>
      </c>
      <c r="G28" s="12">
        <f>Спорт!G38/Спорт!G40</f>
        <v>23.130651437529743</v>
      </c>
      <c r="H28" s="12">
        <f>Спорт!H38/Спорт!H40</f>
        <v>22.59700176366843</v>
      </c>
      <c r="I28" s="12">
        <f>Спорт!I38/Спорт!I40</f>
        <v>22.614780679296807</v>
      </c>
      <c r="J28" s="12">
        <f>Спорт!J38/Спорт!J40</f>
        <v>31.305114638447971</v>
      </c>
      <c r="K28" s="12">
        <f>Спорт!K38/Спорт!K40</f>
        <v>32.52479442955633</v>
      </c>
      <c r="L28" s="12">
        <f>Спорт!L38/Спорт!L40</f>
        <v>32.333921222810112</v>
      </c>
      <c r="M28" s="12">
        <f>Спорт!M38/Спорт!M40</f>
        <v>32.269317983603699</v>
      </c>
      <c r="N28" s="12">
        <f>Спорт!N38/Спорт!N40</f>
        <v>32.114220258550162</v>
      </c>
      <c r="O28" s="12">
        <f>Спорт!O38/Спорт!O40</f>
        <v>31.881698548365218</v>
      </c>
      <c r="P28" s="12">
        <f>Спорт!P38/Спорт!P40</f>
        <v>31.559337114892671</v>
      </c>
      <c r="Q28" s="12">
        <f>Спорт!Q38/Спорт!Q40</f>
        <v>31.369712249008465</v>
      </c>
      <c r="R28" s="12">
        <f>Спорт!R38/Спорт!R40</f>
        <v>31.181226747668916</v>
      </c>
      <c r="S28" s="12">
        <f>Спорт!S38/Спорт!S40</f>
        <v>30.993873764980897</v>
      </c>
    </row>
    <row r="29" spans="1:19" s="13" customFormat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Рынок УВ Lucinel</vt:lpstr>
      <vt:lpstr>Мировой рынок УВ свод</vt:lpstr>
      <vt:lpstr>УВ регионы мира</vt:lpstr>
      <vt:lpstr>Мировой рынок УВ по мощностям</vt:lpstr>
      <vt:lpstr>Рентабельность УВ</vt:lpstr>
      <vt:lpstr>Авиация</vt:lpstr>
      <vt:lpstr>Промышленность</vt:lpstr>
      <vt:lpstr>Спорт</vt:lpstr>
      <vt:lpstr>Ср. цены по отраслям</vt:lpstr>
      <vt:lpstr>Ведущие игроки</vt:lpstr>
      <vt:lpstr>Фин. показат. игроков</vt:lpstr>
      <vt:lpstr>Прекурсор</vt:lpstr>
      <vt:lpstr>Рынок УВ РФ 2019-2021</vt:lpstr>
      <vt:lpstr>Рынок УВ РФ 2022-2030</vt:lpstr>
      <vt:lpstr>Ткани регионы мира</vt:lpstr>
      <vt:lpstr>Препреги</vt:lpstr>
      <vt:lpstr> Углепластики регионы мира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2023-12-28T08:36:11Z</dcterms:modified>
</cp:coreProperties>
</file>